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5-2016\Executive Board FY16\Thomas Barr - Operations Director\"/>
    </mc:Choice>
  </mc:AlternateContent>
  <bookViews>
    <workbookView xWindow="0" yWindow="0" windowWidth="21570" windowHeight="8160"/>
  </bookViews>
  <sheets>
    <sheet name="Special Apps" sheetId="1" r:id="rId1"/>
    <sheet name="Base Budgets" sheetId="2" r:id="rId2"/>
    <sheet name="SFB FM" sheetId="4" r:id="rId3"/>
  </sheets>
  <definedNames>
    <definedName name="_xlnm._FilterDatabase" localSheetId="0" hidden="1">'Special Apps'!$B$1:$B$926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1" i="1" l="1"/>
  <c r="D582" i="1"/>
  <c r="G299" i="1" l="1"/>
  <c r="H635" i="1"/>
  <c r="H636" i="1"/>
  <c r="H637" i="1"/>
  <c r="H640" i="1"/>
  <c r="H641" i="1"/>
  <c r="H644" i="1"/>
  <c r="H645" i="1"/>
  <c r="H646" i="1"/>
  <c r="H649" i="1"/>
  <c r="H650" i="1"/>
  <c r="H651" i="1"/>
  <c r="H652" i="1"/>
  <c r="H654" i="1"/>
  <c r="H634" i="1"/>
  <c r="H919" i="1"/>
  <c r="F380" i="2"/>
  <c r="F133" i="2"/>
  <c r="F78" i="2"/>
  <c r="F117" i="2"/>
  <c r="F119" i="2"/>
  <c r="G647" i="1"/>
  <c r="H647" i="1"/>
  <c r="G853" i="1"/>
  <c r="G920" i="1"/>
  <c r="G638" i="1"/>
  <c r="H638" i="1"/>
  <c r="H209" i="2"/>
  <c r="H196" i="2"/>
  <c r="G869" i="1"/>
  <c r="G834" i="1"/>
  <c r="F402" i="2"/>
  <c r="F403" i="2"/>
  <c r="F378" i="2"/>
  <c r="F132" i="2"/>
  <c r="G499" i="1"/>
  <c r="G643" i="1"/>
  <c r="H643" i="1"/>
  <c r="F917" i="1"/>
  <c r="F922" i="1"/>
  <c r="F138" i="2"/>
  <c r="G929" i="1"/>
  <c r="G930" i="1"/>
  <c r="G642" i="1"/>
  <c r="H642" i="1"/>
  <c r="F390" i="2"/>
  <c r="G817" i="1"/>
  <c r="C5" i="4"/>
  <c r="F120" i="2"/>
  <c r="G816" i="1"/>
  <c r="F137" i="2"/>
  <c r="F140" i="2"/>
  <c r="G653" i="1"/>
  <c r="H653" i="1"/>
  <c r="G890" i="1"/>
  <c r="G893" i="1"/>
  <c r="F210" i="2"/>
  <c r="G925" i="1"/>
  <c r="F372" i="2"/>
  <c r="G867" i="1"/>
  <c r="G717" i="1"/>
  <c r="C14" i="4"/>
  <c r="H958" i="1"/>
  <c r="H957" i="1"/>
  <c r="H959" i="1"/>
  <c r="G959" i="1"/>
  <c r="F959" i="1"/>
  <c r="H955" i="1"/>
  <c r="H956" i="1"/>
  <c r="G956" i="1"/>
  <c r="F956" i="1"/>
  <c r="H953" i="1"/>
  <c r="H954" i="1"/>
  <c r="G954" i="1"/>
  <c r="F954" i="1"/>
  <c r="H951" i="1"/>
  <c r="H952" i="1" s="1"/>
  <c r="H950" i="1"/>
  <c r="G952" i="1"/>
  <c r="F952" i="1"/>
  <c r="H948" i="1"/>
  <c r="H947" i="1"/>
  <c r="H946" i="1"/>
  <c r="G949" i="1"/>
  <c r="F949" i="1"/>
  <c r="G945" i="1"/>
  <c r="F945" i="1"/>
  <c r="H944" i="1"/>
  <c r="H942" i="1"/>
  <c r="H941" i="1"/>
  <c r="H940" i="1"/>
  <c r="H939" i="1"/>
  <c r="H938" i="1"/>
  <c r="H937" i="1"/>
  <c r="G943" i="1"/>
  <c r="F943" i="1"/>
  <c r="H935" i="1"/>
  <c r="H936" i="1"/>
  <c r="G936" i="1"/>
  <c r="F936" i="1"/>
  <c r="H933" i="1"/>
  <c r="H932" i="1"/>
  <c r="H934" i="1"/>
  <c r="G934" i="1"/>
  <c r="F934" i="1"/>
  <c r="H949" i="1"/>
  <c r="H945" i="1"/>
  <c r="H943" i="1"/>
  <c r="G885" i="1"/>
  <c r="G884" i="1"/>
  <c r="F240" i="2"/>
  <c r="F246" i="2"/>
  <c r="G814" i="1"/>
  <c r="G494" i="1"/>
  <c r="G775" i="1"/>
  <c r="G696" i="1"/>
  <c r="G697" i="1"/>
  <c r="G698" i="1"/>
  <c r="G896" i="1"/>
  <c r="F94" i="2"/>
  <c r="G648" i="1"/>
  <c r="H648" i="1"/>
  <c r="F152" i="2"/>
  <c r="C15" i="4"/>
  <c r="G745" i="1"/>
  <c r="H930" i="1"/>
  <c r="H929" i="1"/>
  <c r="G931" i="1"/>
  <c r="F931" i="1"/>
  <c r="H927" i="1"/>
  <c r="H928" i="1"/>
  <c r="G928" i="1"/>
  <c r="F928" i="1"/>
  <c r="G818" i="1"/>
  <c r="G824" i="1"/>
  <c r="H931" i="1"/>
  <c r="G839" i="1"/>
  <c r="G926" i="1"/>
  <c r="F926" i="1"/>
  <c r="H925" i="1"/>
  <c r="H926" i="1"/>
  <c r="G924" i="1"/>
  <c r="F924" i="1"/>
  <c r="H923" i="1"/>
  <c r="H924" i="1"/>
  <c r="F272" i="2"/>
  <c r="G766" i="1"/>
  <c r="F353" i="2"/>
  <c r="F375" i="2"/>
  <c r="F376" i="2"/>
  <c r="G504" i="1"/>
  <c r="F139" i="2"/>
  <c r="F134" i="2"/>
  <c r="H921" i="1"/>
  <c r="H920" i="1"/>
  <c r="H918" i="1"/>
  <c r="H917" i="1"/>
  <c r="H916" i="1"/>
  <c r="G922" i="1"/>
  <c r="H914" i="1"/>
  <c r="H913" i="1"/>
  <c r="H912" i="1"/>
  <c r="H911" i="1"/>
  <c r="G915" i="1"/>
  <c r="F915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G910" i="1"/>
  <c r="F910" i="1"/>
  <c r="G894" i="1"/>
  <c r="F894" i="1"/>
  <c r="H893" i="1"/>
  <c r="H892" i="1"/>
  <c r="H891" i="1"/>
  <c r="H890" i="1"/>
  <c r="H889" i="1"/>
  <c r="H888" i="1"/>
  <c r="H922" i="1"/>
  <c r="H894" i="1"/>
  <c r="H910" i="1"/>
  <c r="H915" i="1"/>
  <c r="G493" i="1"/>
  <c r="G838" i="1"/>
  <c r="G836" i="1"/>
  <c r="G490" i="1"/>
  <c r="G491" i="1"/>
  <c r="F104" i="2"/>
  <c r="G627" i="1"/>
  <c r="F312" i="2"/>
  <c r="G535" i="1"/>
  <c r="G533" i="1"/>
  <c r="G532" i="1"/>
  <c r="G540" i="1"/>
  <c r="G536" i="1"/>
  <c r="G723" i="1"/>
  <c r="F352" i="2"/>
  <c r="G736" i="1"/>
  <c r="G735" i="1"/>
  <c r="G732" i="1"/>
  <c r="G738" i="1"/>
  <c r="G740" i="1"/>
  <c r="G804" i="1"/>
  <c r="G727" i="1"/>
  <c r="G725" i="1"/>
  <c r="G681" i="1"/>
  <c r="G763" i="1"/>
  <c r="G630" i="1"/>
  <c r="G639" i="1"/>
  <c r="H639" i="1"/>
  <c r="G710" i="1"/>
  <c r="G632" i="1"/>
  <c r="G783" i="1"/>
  <c r="G779" i="1"/>
  <c r="G588" i="1"/>
  <c r="F416" i="2"/>
  <c r="G700" i="1"/>
  <c r="G497" i="1"/>
  <c r="H886" i="1"/>
  <c r="H885" i="1"/>
  <c r="H884" i="1"/>
  <c r="G887" i="1"/>
  <c r="F887" i="1"/>
  <c r="H878" i="1"/>
  <c r="H882" i="1"/>
  <c r="H881" i="1"/>
  <c r="H880" i="1"/>
  <c r="H879" i="1"/>
  <c r="G883" i="1"/>
  <c r="F883" i="1"/>
  <c r="H876" i="1"/>
  <c r="H875" i="1"/>
  <c r="H874" i="1"/>
  <c r="G877" i="1"/>
  <c r="F877" i="1"/>
  <c r="H872" i="1"/>
  <c r="H871" i="1"/>
  <c r="H870" i="1"/>
  <c r="G873" i="1"/>
  <c r="F869" i="1"/>
  <c r="H869" i="1"/>
  <c r="H867" i="1"/>
  <c r="H866" i="1"/>
  <c r="H865" i="1"/>
  <c r="H864" i="1"/>
  <c r="H863" i="1"/>
  <c r="G868" i="1"/>
  <c r="F868" i="1"/>
  <c r="H861" i="1"/>
  <c r="H860" i="1"/>
  <c r="H859" i="1"/>
  <c r="H858" i="1"/>
  <c r="H857" i="1"/>
  <c r="H856" i="1"/>
  <c r="H855" i="1"/>
  <c r="G862" i="1"/>
  <c r="F862" i="1"/>
  <c r="H853" i="1"/>
  <c r="H852" i="1"/>
  <c r="H851" i="1"/>
  <c r="H850" i="1"/>
  <c r="H849" i="1"/>
  <c r="G854" i="1"/>
  <c r="F854" i="1"/>
  <c r="H847" i="1"/>
  <c r="H846" i="1"/>
  <c r="G848" i="1"/>
  <c r="F848" i="1"/>
  <c r="H844" i="1"/>
  <c r="H843" i="1"/>
  <c r="G845" i="1"/>
  <c r="F845" i="1"/>
  <c r="H841" i="1"/>
  <c r="H842" i="1"/>
  <c r="G842" i="1"/>
  <c r="F842" i="1"/>
  <c r="H839" i="1"/>
  <c r="H838" i="1"/>
  <c r="H837" i="1"/>
  <c r="H836" i="1"/>
  <c r="G840" i="1"/>
  <c r="F840" i="1"/>
  <c r="H834" i="1"/>
  <c r="H833" i="1"/>
  <c r="H832" i="1"/>
  <c r="H831" i="1"/>
  <c r="G835" i="1"/>
  <c r="F835" i="1"/>
  <c r="F873" i="1"/>
  <c r="H835" i="1"/>
  <c r="H845" i="1"/>
  <c r="H854" i="1"/>
  <c r="H877" i="1"/>
  <c r="H883" i="1"/>
  <c r="H887" i="1"/>
  <c r="H873" i="1"/>
  <c r="H868" i="1"/>
  <c r="H862" i="1"/>
  <c r="H848" i="1"/>
  <c r="H840" i="1"/>
  <c r="G3" i="1"/>
  <c r="G534" i="1"/>
  <c r="G622" i="1"/>
  <c r="F223" i="2"/>
  <c r="F224" i="2"/>
  <c r="I224" i="2"/>
  <c r="F316" i="2"/>
  <c r="G604" i="1"/>
  <c r="G603" i="1"/>
  <c r="G706" i="1"/>
  <c r="G703" i="1"/>
  <c r="G704" i="1"/>
  <c r="G705" i="1"/>
  <c r="G669" i="1"/>
  <c r="G539" i="1"/>
  <c r="F16" i="2"/>
  <c r="F17" i="2"/>
  <c r="F19" i="2"/>
  <c r="H829" i="1"/>
  <c r="H828" i="1"/>
  <c r="H827" i="1"/>
  <c r="H826" i="1"/>
  <c r="G830" i="1"/>
  <c r="F830" i="1"/>
  <c r="H824" i="1"/>
  <c r="H823" i="1"/>
  <c r="G825" i="1"/>
  <c r="F825" i="1"/>
  <c r="H821" i="1"/>
  <c r="H820" i="1"/>
  <c r="G822" i="1"/>
  <c r="F822" i="1"/>
  <c r="H818" i="1"/>
  <c r="H819" i="1"/>
  <c r="G819" i="1"/>
  <c r="F819" i="1"/>
  <c r="F817" i="1"/>
  <c r="H816" i="1"/>
  <c r="H817" i="1"/>
  <c r="H814" i="1"/>
  <c r="H813" i="1"/>
  <c r="H812" i="1"/>
  <c r="H811" i="1"/>
  <c r="H810" i="1"/>
  <c r="G815" i="1"/>
  <c r="F815" i="1"/>
  <c r="H825" i="1"/>
  <c r="H822" i="1"/>
  <c r="H815" i="1"/>
  <c r="H830" i="1"/>
  <c r="G693" i="1"/>
  <c r="F102" i="2"/>
  <c r="G506" i="1"/>
  <c r="G500" i="1"/>
  <c r="G757" i="1"/>
  <c r="G758" i="1"/>
  <c r="G690" i="1"/>
  <c r="G689" i="1"/>
  <c r="F3" i="1"/>
  <c r="F2" i="1"/>
  <c r="G2" i="1"/>
  <c r="H808" i="1"/>
  <c r="H807" i="1"/>
  <c r="H806" i="1"/>
  <c r="G809" i="1"/>
  <c r="F809" i="1"/>
  <c r="H804" i="1"/>
  <c r="H805" i="1"/>
  <c r="G805" i="1"/>
  <c r="F805" i="1"/>
  <c r="H809" i="1"/>
  <c r="H801" i="1"/>
  <c r="G668" i="1"/>
  <c r="G670" i="1"/>
  <c r="G623" i="1"/>
  <c r="F379" i="2"/>
  <c r="F214" i="2"/>
  <c r="H802" i="1"/>
  <c r="H800" i="1"/>
  <c r="H799" i="1"/>
  <c r="H798" i="1"/>
  <c r="H797" i="1"/>
  <c r="H796" i="1"/>
  <c r="H795" i="1"/>
  <c r="H794" i="1"/>
  <c r="H793" i="1"/>
  <c r="G803" i="1"/>
  <c r="F803" i="1"/>
  <c r="H791" i="1"/>
  <c r="H792" i="1"/>
  <c r="G792" i="1"/>
  <c r="F792" i="1"/>
  <c r="H789" i="1"/>
  <c r="H788" i="1"/>
  <c r="G790" i="1"/>
  <c r="F790" i="1"/>
  <c r="H786" i="1"/>
  <c r="H785" i="1"/>
  <c r="H784" i="1"/>
  <c r="H783" i="1"/>
  <c r="H782" i="1"/>
  <c r="H781" i="1"/>
  <c r="H780" i="1"/>
  <c r="H779" i="1"/>
  <c r="H778" i="1"/>
  <c r="H777" i="1"/>
  <c r="G787" i="1"/>
  <c r="F787" i="1"/>
  <c r="H774" i="1"/>
  <c r="H775" i="1"/>
  <c r="G776" i="1"/>
  <c r="F776" i="1"/>
  <c r="H772" i="1"/>
  <c r="H771" i="1"/>
  <c r="H770" i="1"/>
  <c r="H769" i="1"/>
  <c r="H768" i="1"/>
  <c r="H767" i="1"/>
  <c r="H766" i="1"/>
  <c r="H765" i="1"/>
  <c r="H764" i="1"/>
  <c r="H763" i="1"/>
  <c r="G773" i="1"/>
  <c r="F773" i="1"/>
  <c r="H790" i="1"/>
  <c r="H787" i="1"/>
  <c r="H773" i="1"/>
  <c r="H803" i="1"/>
  <c r="H776" i="1"/>
  <c r="F278" i="2"/>
  <c r="G302" i="1"/>
  <c r="H761" i="1"/>
  <c r="G762" i="1"/>
  <c r="F760" i="1"/>
  <c r="F762" i="1"/>
  <c r="H758" i="1"/>
  <c r="H757" i="1"/>
  <c r="H756" i="1"/>
  <c r="G759" i="1"/>
  <c r="F759" i="1"/>
  <c r="H760" i="1"/>
  <c r="H762" i="1"/>
  <c r="H759" i="1"/>
  <c r="H754" i="1"/>
  <c r="H753" i="1"/>
  <c r="H752" i="1"/>
  <c r="G755" i="1"/>
  <c r="F755" i="1"/>
  <c r="H750" i="1"/>
  <c r="H749" i="1"/>
  <c r="G751" i="1"/>
  <c r="F751" i="1"/>
  <c r="H747" i="1"/>
  <c r="H746" i="1"/>
  <c r="H745" i="1"/>
  <c r="H744" i="1"/>
  <c r="G748" i="1"/>
  <c r="F748" i="1"/>
  <c r="H743" i="1"/>
  <c r="G743" i="1"/>
  <c r="F743" i="1"/>
  <c r="G741" i="1"/>
  <c r="F741" i="1"/>
  <c r="H740" i="1"/>
  <c r="H741" i="1"/>
  <c r="H738" i="1"/>
  <c r="H737" i="1"/>
  <c r="H735" i="1"/>
  <c r="H734" i="1"/>
  <c r="G739" i="1"/>
  <c r="F736" i="1"/>
  <c r="H736" i="1"/>
  <c r="G733" i="1"/>
  <c r="F733" i="1"/>
  <c r="H732" i="1"/>
  <c r="H733" i="1"/>
  <c r="G731" i="1"/>
  <c r="F731" i="1"/>
  <c r="H730" i="1"/>
  <c r="H731" i="1"/>
  <c r="G303" i="1"/>
  <c r="G311" i="1"/>
  <c r="G664" i="1"/>
  <c r="H739" i="1"/>
  <c r="F739" i="1"/>
  <c r="H755" i="1"/>
  <c r="H751" i="1"/>
  <c r="H748" i="1"/>
  <c r="H707" i="1"/>
  <c r="F121" i="2"/>
  <c r="G306" i="1"/>
  <c r="G305" i="1"/>
  <c r="G307" i="1"/>
  <c r="G301" i="1"/>
  <c r="G300" i="1"/>
  <c r="G538" i="1"/>
  <c r="G548" i="1"/>
  <c r="G370" i="2"/>
  <c r="F381" i="2"/>
  <c r="G70" i="1"/>
  <c r="F719" i="1"/>
  <c r="G443" i="1"/>
  <c r="G441" i="1"/>
  <c r="G444" i="1"/>
  <c r="H728" i="1"/>
  <c r="H727" i="1"/>
  <c r="H726" i="1"/>
  <c r="H725" i="1"/>
  <c r="G729" i="1"/>
  <c r="F729" i="1"/>
  <c r="F211" i="2"/>
  <c r="H729" i="1"/>
  <c r="H723" i="1"/>
  <c r="H722" i="1"/>
  <c r="H721" i="1"/>
  <c r="G724" i="1"/>
  <c r="F724" i="1"/>
  <c r="G720" i="1"/>
  <c r="F720" i="1"/>
  <c r="H719" i="1"/>
  <c r="H720" i="1"/>
  <c r="H717" i="1"/>
  <c r="H716" i="1"/>
  <c r="G718" i="1"/>
  <c r="F718" i="1"/>
  <c r="H714" i="1"/>
  <c r="H713" i="1"/>
  <c r="H712" i="1"/>
  <c r="H711" i="1"/>
  <c r="H710" i="1"/>
  <c r="G715" i="1"/>
  <c r="F715" i="1"/>
  <c r="H708" i="1"/>
  <c r="H706" i="1"/>
  <c r="H705" i="1"/>
  <c r="H704" i="1"/>
  <c r="H703" i="1"/>
  <c r="G709" i="1"/>
  <c r="F709" i="1"/>
  <c r="G702" i="1"/>
  <c r="H701" i="1"/>
  <c r="F700" i="1"/>
  <c r="F702" i="1"/>
  <c r="G547" i="1"/>
  <c r="G549" i="1"/>
  <c r="G310" i="1"/>
  <c r="G308" i="1"/>
  <c r="H700" i="1"/>
  <c r="H702" i="1"/>
  <c r="H718" i="1"/>
  <c r="H715" i="1"/>
  <c r="H724" i="1"/>
  <c r="H709" i="1"/>
  <c r="F580" i="1"/>
  <c r="G699" i="1"/>
  <c r="H697" i="1"/>
  <c r="H696" i="1"/>
  <c r="H695" i="1"/>
  <c r="F698" i="1"/>
  <c r="H698" i="1"/>
  <c r="H693" i="1"/>
  <c r="H692" i="1"/>
  <c r="G694" i="1"/>
  <c r="F694" i="1"/>
  <c r="H690" i="1"/>
  <c r="H689" i="1"/>
  <c r="H688" i="1"/>
  <c r="G691" i="1"/>
  <c r="F691" i="1"/>
  <c r="G579" i="1"/>
  <c r="H699" i="1"/>
  <c r="F699" i="1"/>
  <c r="H691" i="1"/>
  <c r="H694" i="1"/>
  <c r="F663" i="1"/>
  <c r="G568" i="1"/>
  <c r="F568" i="1"/>
  <c r="H567" i="1"/>
  <c r="H568" i="1"/>
  <c r="H665" i="1"/>
  <c r="F666" i="1"/>
  <c r="G388" i="1"/>
  <c r="G593" i="1"/>
  <c r="G595" i="1"/>
  <c r="H686" i="1"/>
  <c r="H685" i="1"/>
  <c r="H684" i="1"/>
  <c r="H683" i="1"/>
  <c r="G687" i="1"/>
  <c r="F687" i="1"/>
  <c r="G682" i="1"/>
  <c r="H681" i="1"/>
  <c r="H680" i="1"/>
  <c r="F682" i="1"/>
  <c r="H678" i="1"/>
  <c r="H677" i="1"/>
  <c r="G679" i="1"/>
  <c r="F679" i="1"/>
  <c r="H675" i="1"/>
  <c r="H674" i="1"/>
  <c r="H673" i="1"/>
  <c r="H672" i="1"/>
  <c r="H671" i="1"/>
  <c r="H670" i="1"/>
  <c r="H669" i="1"/>
  <c r="H668" i="1"/>
  <c r="H667" i="1"/>
  <c r="G676" i="1"/>
  <c r="F676" i="1"/>
  <c r="H664" i="1"/>
  <c r="H663" i="1"/>
  <c r="G666" i="1"/>
  <c r="H661" i="1"/>
  <c r="H660" i="1"/>
  <c r="H659" i="1"/>
  <c r="H658" i="1"/>
  <c r="H657" i="1"/>
  <c r="G662" i="1"/>
  <c r="F662" i="1"/>
  <c r="H655" i="1"/>
  <c r="H633" i="1"/>
  <c r="H632" i="1"/>
  <c r="H631" i="1"/>
  <c r="H630" i="1"/>
  <c r="G656" i="1"/>
  <c r="F656" i="1"/>
  <c r="H628" i="1"/>
  <c r="G629" i="1"/>
  <c r="F627" i="1"/>
  <c r="H627" i="1"/>
  <c r="F629" i="1"/>
  <c r="H682" i="1"/>
  <c r="H656" i="1"/>
  <c r="H679" i="1"/>
  <c r="H687" i="1"/>
  <c r="H666" i="1"/>
  <c r="H676" i="1"/>
  <c r="H662" i="1"/>
  <c r="H629" i="1"/>
  <c r="G511" i="1"/>
  <c r="F303" i="1"/>
  <c r="G529" i="1"/>
  <c r="H550" i="1"/>
  <c r="H549" i="1"/>
  <c r="H548" i="1"/>
  <c r="H547" i="1"/>
  <c r="G551" i="1"/>
  <c r="F551" i="1"/>
  <c r="G546" i="1"/>
  <c r="F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G530" i="1"/>
  <c r="F530" i="1"/>
  <c r="H529" i="1"/>
  <c r="H528" i="1"/>
  <c r="H546" i="1"/>
  <c r="H530" i="1"/>
  <c r="H551" i="1"/>
  <c r="G474" i="1"/>
  <c r="H625" i="1"/>
  <c r="H624" i="1"/>
  <c r="H623" i="1"/>
  <c r="H622" i="1"/>
  <c r="H621" i="1"/>
  <c r="H620" i="1"/>
  <c r="H619" i="1"/>
  <c r="H618" i="1"/>
  <c r="G626" i="1"/>
  <c r="F626" i="1"/>
  <c r="H616" i="1"/>
  <c r="H615" i="1"/>
  <c r="H614" i="1"/>
  <c r="H613" i="1"/>
  <c r="H612" i="1"/>
  <c r="G617" i="1"/>
  <c r="F617" i="1"/>
  <c r="G611" i="1"/>
  <c r="F611" i="1"/>
  <c r="H610" i="1"/>
  <c r="H609" i="1"/>
  <c r="H607" i="1"/>
  <c r="H606" i="1"/>
  <c r="G608" i="1"/>
  <c r="F608" i="1"/>
  <c r="H604" i="1"/>
  <c r="H602" i="1"/>
  <c r="G605" i="1"/>
  <c r="F603" i="1"/>
  <c r="H603" i="1"/>
  <c r="G601" i="1"/>
  <c r="H600" i="1"/>
  <c r="H598" i="1"/>
  <c r="F599" i="1"/>
  <c r="H599" i="1"/>
  <c r="G479" i="1"/>
  <c r="G480" i="1"/>
  <c r="G478" i="1"/>
  <c r="H608" i="1"/>
  <c r="H601" i="1"/>
  <c r="H611" i="1"/>
  <c r="H617" i="1"/>
  <c r="F601" i="1"/>
  <c r="F605" i="1"/>
  <c r="H626" i="1"/>
  <c r="H605" i="1"/>
  <c r="G44" i="1"/>
  <c r="G9" i="1"/>
  <c r="G553" i="1"/>
  <c r="G555" i="1"/>
  <c r="F314" i="2"/>
  <c r="F354" i="2"/>
  <c r="H596" i="1"/>
  <c r="H595" i="1"/>
  <c r="H594" i="1"/>
  <c r="H593" i="1"/>
  <c r="G597" i="1"/>
  <c r="F597" i="1"/>
  <c r="F592" i="1"/>
  <c r="H592" i="1"/>
  <c r="H591" i="1"/>
  <c r="H590" i="1"/>
  <c r="H588" i="1"/>
  <c r="F589" i="1"/>
  <c r="H589" i="1"/>
  <c r="H586" i="1"/>
  <c r="H585" i="1"/>
  <c r="H584" i="1"/>
  <c r="H583" i="1"/>
  <c r="H582" i="1"/>
  <c r="H581" i="1"/>
  <c r="H580" i="1"/>
  <c r="H579" i="1"/>
  <c r="H578" i="1"/>
  <c r="H577" i="1"/>
  <c r="H576" i="1"/>
  <c r="G587" i="1"/>
  <c r="F587" i="1"/>
  <c r="H574" i="1"/>
  <c r="H573" i="1"/>
  <c r="H572" i="1"/>
  <c r="H571" i="1"/>
  <c r="H570" i="1"/>
  <c r="H569" i="1"/>
  <c r="G575" i="1"/>
  <c r="F575" i="1"/>
  <c r="G470" i="1"/>
  <c r="F187" i="2"/>
  <c r="G392" i="1"/>
  <c r="G436" i="1"/>
  <c r="G432" i="1"/>
  <c r="G433" i="1"/>
  <c r="G435" i="1"/>
  <c r="G438" i="1"/>
  <c r="G434" i="1"/>
  <c r="H575" i="1"/>
  <c r="H587" i="1"/>
  <c r="H597" i="1"/>
  <c r="G526" i="1"/>
  <c r="G566" i="1"/>
  <c r="F566" i="1"/>
  <c r="H565" i="1"/>
  <c r="H563" i="1"/>
  <c r="H562" i="1"/>
  <c r="G564" i="1"/>
  <c r="F564" i="1"/>
  <c r="H560" i="1"/>
  <c r="H559" i="1"/>
  <c r="G561" i="1"/>
  <c r="F561" i="1"/>
  <c r="H557" i="1"/>
  <c r="H556" i="1"/>
  <c r="H555" i="1"/>
  <c r="H554" i="1"/>
  <c r="H553" i="1"/>
  <c r="G558" i="1"/>
  <c r="F558" i="1"/>
  <c r="H564" i="1"/>
  <c r="J557" i="1"/>
  <c r="H566" i="1"/>
  <c r="H558" i="1"/>
  <c r="H561" i="1"/>
  <c r="F391" i="2"/>
  <c r="H394" i="1"/>
  <c r="F377" i="2"/>
  <c r="G421" i="1"/>
  <c r="G321" i="1"/>
  <c r="G342" i="1"/>
  <c r="H526" i="1"/>
  <c r="G527" i="1"/>
  <c r="F525" i="1"/>
  <c r="H525" i="1"/>
  <c r="G524" i="1"/>
  <c r="F524" i="1"/>
  <c r="H523" i="1"/>
  <c r="H524" i="1"/>
  <c r="G522" i="1"/>
  <c r="F522" i="1"/>
  <c r="H521" i="1"/>
  <c r="H520" i="1"/>
  <c r="H522" i="1"/>
  <c r="F527" i="1"/>
  <c r="H527" i="1"/>
  <c r="G415" i="1"/>
  <c r="G357" i="1"/>
  <c r="G356" i="1"/>
  <c r="G322" i="1"/>
  <c r="G116" i="1"/>
  <c r="G117" i="1"/>
  <c r="G417" i="1"/>
  <c r="G79" i="1"/>
  <c r="G82" i="1"/>
  <c r="F419" i="2"/>
  <c r="G83" i="1"/>
  <c r="G77" i="1"/>
  <c r="G78" i="1"/>
  <c r="G255" i="1"/>
  <c r="G260" i="1"/>
  <c r="F206" i="2"/>
  <c r="G234" i="1"/>
  <c r="G235" i="1"/>
  <c r="G423" i="1"/>
  <c r="G364" i="1"/>
  <c r="F205" i="2"/>
  <c r="F422" i="2"/>
  <c r="F429" i="1"/>
  <c r="G324" i="1"/>
  <c r="G320" i="1"/>
  <c r="H518" i="1"/>
  <c r="H517" i="1"/>
  <c r="H516" i="1"/>
  <c r="H515" i="1"/>
  <c r="H514" i="1"/>
  <c r="H513" i="1"/>
  <c r="H512" i="1"/>
  <c r="H511" i="1"/>
  <c r="F519" i="1"/>
  <c r="H519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F510" i="1"/>
  <c r="H510" i="1"/>
  <c r="G477" i="1"/>
  <c r="F477" i="1"/>
  <c r="H476" i="1"/>
  <c r="G488" i="1"/>
  <c r="F488" i="1"/>
  <c r="H487" i="1"/>
  <c r="H486" i="1"/>
  <c r="H485" i="1"/>
  <c r="H484" i="1"/>
  <c r="H483" i="1"/>
  <c r="H482" i="1"/>
  <c r="H481" i="1"/>
  <c r="H480" i="1"/>
  <c r="H479" i="1"/>
  <c r="H478" i="1"/>
  <c r="H475" i="1"/>
  <c r="H474" i="1"/>
  <c r="H473" i="1"/>
  <c r="H472" i="1"/>
  <c r="H471" i="1"/>
  <c r="H470" i="1"/>
  <c r="H469" i="1"/>
  <c r="H468" i="1"/>
  <c r="H467" i="1"/>
  <c r="H466" i="1"/>
  <c r="H464" i="1"/>
  <c r="H463" i="1"/>
  <c r="H462" i="1"/>
  <c r="H461" i="1"/>
  <c r="H460" i="1"/>
  <c r="G465" i="1"/>
  <c r="F465" i="1"/>
  <c r="H458" i="1"/>
  <c r="H457" i="1"/>
  <c r="H456" i="1"/>
  <c r="H455" i="1"/>
  <c r="H454" i="1"/>
  <c r="G459" i="1"/>
  <c r="F459" i="1"/>
  <c r="G453" i="1"/>
  <c r="F453" i="1"/>
  <c r="H452" i="1"/>
  <c r="H453" i="1"/>
  <c r="H450" i="1"/>
  <c r="H451" i="1"/>
  <c r="G451" i="1"/>
  <c r="F451" i="1"/>
  <c r="G449" i="1"/>
  <c r="F449" i="1"/>
  <c r="H448" i="1"/>
  <c r="H449" i="1"/>
  <c r="H446" i="1"/>
  <c r="H447" i="1"/>
  <c r="G447" i="1"/>
  <c r="F447" i="1"/>
  <c r="E353" i="2"/>
  <c r="G330" i="1"/>
  <c r="F330" i="1"/>
  <c r="H329" i="1"/>
  <c r="H330" i="1"/>
  <c r="G292" i="1"/>
  <c r="I512" i="1"/>
  <c r="H488" i="1"/>
  <c r="H477" i="1"/>
  <c r="H459" i="1"/>
  <c r="H465" i="1"/>
  <c r="F228" i="1"/>
  <c r="G18" i="1"/>
  <c r="G267" i="1"/>
  <c r="G190" i="1"/>
  <c r="G191" i="1"/>
  <c r="H444" i="1"/>
  <c r="H443" i="1"/>
  <c r="H442" i="1"/>
  <c r="H441" i="1"/>
  <c r="G445" i="1"/>
  <c r="F445" i="1"/>
  <c r="H439" i="1"/>
  <c r="H438" i="1"/>
  <c r="H437" i="1"/>
  <c r="H436" i="1"/>
  <c r="H435" i="1"/>
  <c r="H434" i="1"/>
  <c r="H433" i="1"/>
  <c r="H432" i="1"/>
  <c r="F431" i="1"/>
  <c r="H431" i="1"/>
  <c r="G440" i="1"/>
  <c r="G430" i="1"/>
  <c r="F430" i="1"/>
  <c r="H429" i="1"/>
  <c r="H430" i="1"/>
  <c r="F440" i="1"/>
  <c r="H440" i="1"/>
  <c r="J440" i="1"/>
  <c r="H445" i="1"/>
  <c r="E348" i="2"/>
  <c r="F352" i="1"/>
  <c r="G219" i="1"/>
  <c r="G220" i="1"/>
  <c r="G221" i="1"/>
  <c r="G80" i="1"/>
  <c r="G404" i="1"/>
  <c r="H403" i="1"/>
  <c r="H402" i="1"/>
  <c r="H400" i="1"/>
  <c r="H399" i="1"/>
  <c r="H398" i="1"/>
  <c r="H396" i="1"/>
  <c r="F401" i="1"/>
  <c r="H401" i="1"/>
  <c r="F397" i="1"/>
  <c r="H397" i="1"/>
  <c r="F161" i="2"/>
  <c r="F160" i="2"/>
  <c r="G249" i="1"/>
  <c r="F404" i="1"/>
  <c r="H404" i="1"/>
  <c r="I404" i="1"/>
  <c r="G348" i="2"/>
  <c r="G253" i="1"/>
  <c r="G192" i="1"/>
  <c r="F231" i="2"/>
  <c r="F232" i="2"/>
  <c r="F230" i="2"/>
  <c r="F149" i="2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G428" i="1"/>
  <c r="F428" i="1"/>
  <c r="G410" i="1"/>
  <c r="F410" i="1"/>
  <c r="H409" i="1"/>
  <c r="H410" i="1"/>
  <c r="G408" i="1"/>
  <c r="F408" i="1"/>
  <c r="H407" i="1"/>
  <c r="H408" i="1"/>
  <c r="F393" i="1"/>
  <c r="F395" i="1"/>
  <c r="H405" i="1"/>
  <c r="F406" i="1"/>
  <c r="H406" i="1"/>
  <c r="H327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6" i="1"/>
  <c r="H295" i="1"/>
  <c r="H294" i="1"/>
  <c r="H292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F328" i="1"/>
  <c r="H328" i="1"/>
  <c r="F326" i="1"/>
  <c r="H326" i="1"/>
  <c r="F317" i="1"/>
  <c r="H317" i="1"/>
  <c r="F312" i="1"/>
  <c r="H312" i="1"/>
  <c r="F297" i="1"/>
  <c r="H297" i="1"/>
  <c r="F293" i="1"/>
  <c r="H293" i="1"/>
  <c r="F291" i="1"/>
  <c r="H291" i="1"/>
  <c r="F279" i="1"/>
  <c r="H279" i="1"/>
  <c r="G254" i="1"/>
  <c r="G213" i="1"/>
  <c r="G210" i="1"/>
  <c r="I326" i="1"/>
  <c r="J427" i="1"/>
  <c r="I291" i="1"/>
  <c r="I297" i="1"/>
  <c r="H428" i="1"/>
  <c r="H344" i="1"/>
  <c r="F103" i="2"/>
  <c r="H393" i="1"/>
  <c r="H392" i="1"/>
  <c r="H391" i="1"/>
  <c r="H390" i="1"/>
  <c r="H389" i="1"/>
  <c r="H388" i="1"/>
  <c r="J394" i="1"/>
  <c r="H387" i="1"/>
  <c r="G395" i="1"/>
  <c r="H385" i="1"/>
  <c r="H384" i="1"/>
  <c r="H383" i="1"/>
  <c r="G386" i="1"/>
  <c r="F386" i="1"/>
  <c r="H381" i="1"/>
  <c r="H380" i="1"/>
  <c r="H379" i="1"/>
  <c r="H378" i="1"/>
  <c r="G382" i="1"/>
  <c r="F382" i="1"/>
  <c r="H376" i="1"/>
  <c r="H375" i="1"/>
  <c r="H374" i="1"/>
  <c r="H373" i="1"/>
  <c r="G377" i="1"/>
  <c r="F377" i="1"/>
  <c r="F372" i="1"/>
  <c r="H371" i="1"/>
  <c r="H370" i="1"/>
  <c r="H369" i="1"/>
  <c r="H368" i="1"/>
  <c r="H367" i="1"/>
  <c r="H366" i="1"/>
  <c r="G372" i="1"/>
  <c r="H364" i="1"/>
  <c r="H365" i="1"/>
  <c r="G365" i="1"/>
  <c r="F365" i="1"/>
  <c r="H362" i="1"/>
  <c r="H361" i="1"/>
  <c r="G363" i="1"/>
  <c r="F363" i="1"/>
  <c r="H359" i="1"/>
  <c r="H358" i="1"/>
  <c r="H357" i="1"/>
  <c r="H356" i="1"/>
  <c r="H355" i="1"/>
  <c r="G360" i="1"/>
  <c r="F360" i="1"/>
  <c r="H353" i="1"/>
  <c r="H352" i="1"/>
  <c r="H351" i="1"/>
  <c r="H350" i="1"/>
  <c r="H349" i="1"/>
  <c r="H348" i="1"/>
  <c r="H347" i="1"/>
  <c r="H346" i="1"/>
  <c r="H345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G354" i="1"/>
  <c r="F354" i="1"/>
  <c r="I354" i="1"/>
  <c r="H377" i="1"/>
  <c r="H363" i="1"/>
  <c r="H360" i="1"/>
  <c r="H354" i="1"/>
  <c r="H372" i="1"/>
  <c r="J372" i="1"/>
  <c r="H382" i="1"/>
  <c r="H395" i="1"/>
  <c r="H386" i="1"/>
  <c r="G208" i="1"/>
  <c r="G217" i="1"/>
  <c r="F304" i="2"/>
  <c r="F301" i="2"/>
  <c r="F192" i="2"/>
  <c r="F171" i="2"/>
  <c r="G233" i="2"/>
  <c r="G232" i="2"/>
  <c r="G231" i="2"/>
  <c r="G230" i="2"/>
  <c r="G229" i="2"/>
  <c r="G228" i="2"/>
  <c r="G227" i="2"/>
  <c r="G226" i="2"/>
  <c r="H233" i="2"/>
  <c r="C18" i="4"/>
  <c r="B18" i="4"/>
  <c r="F219" i="1"/>
  <c r="F338" i="2"/>
  <c r="C13" i="4"/>
  <c r="G274" i="2"/>
  <c r="G273" i="2"/>
  <c r="G49" i="1"/>
  <c r="F21" i="2"/>
  <c r="F72" i="2"/>
  <c r="F421" i="2"/>
  <c r="G136" i="1"/>
  <c r="F24" i="2"/>
  <c r="F25" i="2"/>
  <c r="F27" i="2"/>
  <c r="F22" i="2"/>
  <c r="G42" i="1"/>
  <c r="G51" i="1"/>
  <c r="F244" i="2"/>
  <c r="F243" i="2"/>
  <c r="F277" i="2"/>
  <c r="H275" i="1"/>
  <c r="H274" i="1"/>
  <c r="H273" i="1"/>
  <c r="H272" i="1"/>
  <c r="H271" i="1"/>
  <c r="H270" i="1"/>
  <c r="H269" i="1"/>
  <c r="H267" i="1"/>
  <c r="I268" i="1"/>
  <c r="H266" i="1"/>
  <c r="H265" i="1"/>
  <c r="H264" i="1"/>
  <c r="H263" i="1"/>
  <c r="H261" i="1"/>
  <c r="H260" i="1"/>
  <c r="H259" i="1"/>
  <c r="H258" i="1"/>
  <c r="H257" i="1"/>
  <c r="G276" i="1"/>
  <c r="F276" i="1"/>
  <c r="G268" i="1"/>
  <c r="F268" i="1"/>
  <c r="G262" i="1"/>
  <c r="F262" i="1"/>
  <c r="H255" i="1"/>
  <c r="H254" i="1"/>
  <c r="H253" i="1"/>
  <c r="H252" i="1"/>
  <c r="G256" i="1"/>
  <c r="F256" i="1"/>
  <c r="H250" i="1"/>
  <c r="H249" i="1"/>
  <c r="H248" i="1"/>
  <c r="H247" i="1"/>
  <c r="H246" i="1"/>
  <c r="G251" i="1"/>
  <c r="F251" i="1"/>
  <c r="H244" i="1"/>
  <c r="H243" i="1"/>
  <c r="H242" i="1"/>
  <c r="H241" i="1"/>
  <c r="H240" i="1"/>
  <c r="H239" i="1"/>
  <c r="H238" i="1"/>
  <c r="H237" i="1"/>
  <c r="G245" i="1"/>
  <c r="F245" i="1"/>
  <c r="G236" i="1"/>
  <c r="F236" i="1"/>
  <c r="H235" i="1"/>
  <c r="H234" i="1"/>
  <c r="H232" i="1"/>
  <c r="H231" i="1"/>
  <c r="H230" i="1"/>
  <c r="H229" i="1"/>
  <c r="H228" i="1"/>
  <c r="H222" i="1"/>
  <c r="G233" i="1"/>
  <c r="F233" i="1"/>
  <c r="I262" i="1"/>
  <c r="I251" i="1"/>
  <c r="H251" i="1"/>
  <c r="H236" i="1"/>
  <c r="H268" i="1"/>
  <c r="H262" i="1"/>
  <c r="H276" i="1"/>
  <c r="H245" i="1"/>
  <c r="H256" i="1"/>
  <c r="I256" i="1"/>
  <c r="H233" i="1"/>
  <c r="I233" i="1"/>
  <c r="F334" i="2"/>
  <c r="G138" i="2"/>
  <c r="F208" i="2"/>
  <c r="G205" i="2"/>
  <c r="G204" i="2"/>
  <c r="G245" i="2"/>
  <c r="G216" i="2"/>
  <c r="G215" i="2"/>
  <c r="G214" i="2"/>
  <c r="G213" i="2"/>
  <c r="G212" i="2"/>
  <c r="G211" i="2"/>
  <c r="G210" i="2"/>
  <c r="G209" i="2"/>
  <c r="G208" i="2"/>
  <c r="G207" i="2"/>
  <c r="G206" i="2"/>
  <c r="G203" i="2"/>
  <c r="G202" i="2"/>
  <c r="G201" i="2"/>
  <c r="G200" i="2"/>
  <c r="G199" i="2"/>
  <c r="G198" i="2"/>
  <c r="F298" i="2"/>
  <c r="F190" i="2"/>
  <c r="F179" i="2"/>
  <c r="G179" i="2"/>
  <c r="F181" i="2"/>
  <c r="G181" i="2"/>
  <c r="G180" i="2"/>
  <c r="F158" i="2"/>
  <c r="F185" i="2"/>
  <c r="G129" i="1"/>
  <c r="G131" i="1"/>
  <c r="F357" i="2"/>
  <c r="G189" i="1"/>
  <c r="E350" i="2"/>
  <c r="E446" i="2"/>
  <c r="G226" i="1"/>
  <c r="H226" i="1"/>
  <c r="F226" i="1"/>
  <c r="F224" i="1"/>
  <c r="H221" i="1"/>
  <c r="H220" i="1"/>
  <c r="H219" i="1"/>
  <c r="G224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18" i="1"/>
  <c r="F218" i="1"/>
  <c r="H199" i="1"/>
  <c r="H198" i="1"/>
  <c r="G200" i="1"/>
  <c r="F200" i="1"/>
  <c r="H196" i="1"/>
  <c r="H197" i="1"/>
  <c r="G197" i="1"/>
  <c r="F197" i="1"/>
  <c r="F195" i="1"/>
  <c r="H194" i="1"/>
  <c r="H193" i="1"/>
  <c r="H192" i="1"/>
  <c r="H191" i="1"/>
  <c r="H190" i="1"/>
  <c r="H189" i="1"/>
  <c r="G195" i="1"/>
  <c r="G186" i="1"/>
  <c r="G188" i="1"/>
  <c r="F188" i="1"/>
  <c r="H187" i="1"/>
  <c r="H188" i="1"/>
  <c r="H185" i="1"/>
  <c r="H184" i="1"/>
  <c r="H183" i="1"/>
  <c r="H182" i="1"/>
  <c r="H181" i="1"/>
  <c r="F186" i="1"/>
  <c r="G180" i="1"/>
  <c r="F180" i="1"/>
  <c r="H179" i="1"/>
  <c r="H178" i="1"/>
  <c r="G177" i="1"/>
  <c r="F177" i="1"/>
  <c r="H175" i="1"/>
  <c r="H174" i="1"/>
  <c r="H176" i="1"/>
  <c r="I176" i="1"/>
  <c r="G173" i="1"/>
  <c r="F173" i="1"/>
  <c r="H172" i="1"/>
  <c r="H173" i="1"/>
  <c r="H170" i="1"/>
  <c r="H169" i="1"/>
  <c r="G171" i="1"/>
  <c r="F171" i="1"/>
  <c r="I186" i="1"/>
  <c r="I224" i="1"/>
  <c r="I195" i="1"/>
  <c r="H177" i="1"/>
  <c r="H224" i="1"/>
  <c r="H218" i="1"/>
  <c r="H180" i="1"/>
  <c r="H195" i="1"/>
  <c r="H200" i="1"/>
  <c r="H186" i="1"/>
  <c r="H171" i="1"/>
  <c r="I171" i="1"/>
  <c r="G168" i="1"/>
  <c r="F168" i="1"/>
  <c r="H167" i="1"/>
  <c r="H166" i="1"/>
  <c r="H165" i="1"/>
  <c r="H164" i="1"/>
  <c r="H163" i="1"/>
  <c r="H168" i="1"/>
  <c r="G74" i="1"/>
  <c r="F26" i="2"/>
  <c r="F32" i="2"/>
  <c r="F362" i="2"/>
  <c r="F363" i="2"/>
  <c r="F297" i="2"/>
  <c r="F349" i="2"/>
  <c r="F350" i="2"/>
  <c r="F392" i="2"/>
  <c r="G347" i="2"/>
  <c r="F29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H161" i="1"/>
  <c r="H160" i="1"/>
  <c r="H159" i="1"/>
  <c r="G162" i="1"/>
  <c r="F162" i="1"/>
  <c r="G160" i="2"/>
  <c r="G159" i="2"/>
  <c r="G158" i="2"/>
  <c r="G157" i="2"/>
  <c r="H169" i="2"/>
  <c r="H162" i="1"/>
  <c r="I162" i="1"/>
  <c r="F23" i="2"/>
  <c r="G364" i="2"/>
  <c r="G349" i="2"/>
  <c r="H128" i="1"/>
  <c r="H129" i="1"/>
  <c r="H130" i="1"/>
  <c r="H131" i="1"/>
  <c r="F132" i="1"/>
  <c r="H132" i="1"/>
  <c r="H133" i="1"/>
  <c r="H134" i="1"/>
  <c r="H135" i="1"/>
  <c r="H136" i="1"/>
  <c r="H137" i="1"/>
  <c r="F138" i="1"/>
  <c r="H139" i="1"/>
  <c r="H140" i="1"/>
  <c r="H141" i="1"/>
  <c r="H142" i="1"/>
  <c r="H143" i="1"/>
  <c r="F144" i="1"/>
  <c r="H144" i="1"/>
  <c r="H145" i="1"/>
  <c r="H146" i="1"/>
  <c r="H147" i="1"/>
  <c r="H148" i="1"/>
  <c r="H149" i="1"/>
  <c r="H150" i="1"/>
  <c r="H151" i="1"/>
  <c r="F152" i="1"/>
  <c r="H152" i="1"/>
  <c r="H153" i="1"/>
  <c r="H154" i="1"/>
  <c r="H155" i="1"/>
  <c r="F156" i="1"/>
  <c r="H157" i="1"/>
  <c r="H158" i="1"/>
  <c r="F158" i="1"/>
  <c r="I137" i="1"/>
  <c r="I131" i="1"/>
  <c r="H156" i="1"/>
  <c r="I156" i="1"/>
  <c r="H138" i="1"/>
  <c r="G75" i="2"/>
  <c r="H125" i="1"/>
  <c r="H124" i="1"/>
  <c r="F126" i="1"/>
  <c r="G350" i="2"/>
  <c r="H126" i="1"/>
  <c r="H7" i="1"/>
  <c r="G121" i="1"/>
  <c r="F115" i="2"/>
  <c r="G4" i="1"/>
  <c r="H123" i="1"/>
  <c r="H121" i="1"/>
  <c r="H120" i="1"/>
  <c r="H117" i="1"/>
  <c r="H116" i="1"/>
  <c r="H113" i="1"/>
  <c r="H112" i="1"/>
  <c r="H109" i="1"/>
  <c r="H108" i="1"/>
  <c r="H105" i="1"/>
  <c r="H104" i="1"/>
  <c r="H101" i="1"/>
  <c r="H98" i="1"/>
  <c r="H97" i="1"/>
  <c r="H96" i="1"/>
  <c r="H92" i="1"/>
  <c r="H91" i="1"/>
  <c r="H90" i="1"/>
  <c r="H89" i="1"/>
  <c r="H88" i="1"/>
  <c r="H86" i="1"/>
  <c r="H85" i="1"/>
  <c r="H84" i="1"/>
  <c r="H83" i="1"/>
  <c r="H82" i="1"/>
  <c r="H81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0" i="1"/>
  <c r="H49" i="1"/>
  <c r="H48" i="1"/>
  <c r="H47" i="1"/>
  <c r="H46" i="1"/>
  <c r="H45" i="1"/>
  <c r="H44" i="1"/>
  <c r="J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18" i="1"/>
  <c r="J18" i="1"/>
  <c r="H17" i="1"/>
  <c r="H16" i="1"/>
  <c r="H15" i="1"/>
  <c r="H14" i="1"/>
  <c r="H13" i="1"/>
  <c r="H12" i="1"/>
  <c r="H11" i="1"/>
  <c r="H10" i="1"/>
  <c r="H8" i="1"/>
  <c r="H6" i="1"/>
  <c r="H3" i="1"/>
  <c r="H2" i="1"/>
  <c r="J85" i="1"/>
  <c r="I121" i="1"/>
  <c r="J72" i="1"/>
  <c r="F112" i="2"/>
  <c r="F446" i="2"/>
  <c r="G148" i="2"/>
  <c r="G147" i="2"/>
  <c r="G146" i="2"/>
  <c r="G145" i="2"/>
  <c r="G144" i="2"/>
  <c r="G143" i="2"/>
  <c r="G142" i="2"/>
  <c r="G141" i="2"/>
  <c r="G140" i="2"/>
  <c r="G139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H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6" i="2"/>
  <c r="G5" i="2"/>
  <c r="G4" i="2"/>
  <c r="G3" i="2"/>
  <c r="G149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H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69" i="2"/>
  <c r="G368" i="2"/>
  <c r="G367" i="2"/>
  <c r="G366" i="2"/>
  <c r="G365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H351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H328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H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H262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4" i="2"/>
  <c r="G243" i="2"/>
  <c r="H245" i="2"/>
  <c r="G242" i="2"/>
  <c r="G241" i="2"/>
  <c r="G240" i="2"/>
  <c r="G239" i="2"/>
  <c r="G238" i="2"/>
  <c r="G237" i="2"/>
  <c r="G236" i="2"/>
  <c r="G235" i="2"/>
  <c r="G234" i="2"/>
  <c r="G225" i="2"/>
  <c r="G224" i="2"/>
  <c r="G223" i="2"/>
  <c r="G222" i="2"/>
  <c r="G221" i="2"/>
  <c r="G220" i="2"/>
  <c r="G219" i="2"/>
  <c r="G218" i="2"/>
  <c r="G217" i="2"/>
  <c r="G197" i="2"/>
  <c r="G196" i="2"/>
  <c r="G195" i="2"/>
  <c r="G156" i="2"/>
  <c r="G155" i="2"/>
  <c r="G154" i="2"/>
  <c r="G153" i="2"/>
  <c r="G152" i="2"/>
  <c r="G151" i="2"/>
  <c r="G150" i="2"/>
  <c r="H395" i="2"/>
  <c r="H425" i="2"/>
  <c r="H31" i="2"/>
  <c r="H42" i="2"/>
  <c r="H116" i="2"/>
  <c r="H285" i="2"/>
  <c r="H308" i="2"/>
  <c r="H61" i="2"/>
  <c r="H77" i="2"/>
  <c r="H149" i="2"/>
  <c r="G446" i="2"/>
  <c r="F9" i="1"/>
  <c r="H9" i="1"/>
  <c r="F122" i="1"/>
  <c r="H122" i="1"/>
  <c r="F118" i="1"/>
  <c r="H118" i="1"/>
  <c r="F114" i="1"/>
  <c r="H114" i="1"/>
  <c r="F110" i="1"/>
  <c r="H110" i="1"/>
  <c r="F106" i="1"/>
  <c r="H106" i="1"/>
  <c r="F102" i="1"/>
  <c r="H102" i="1"/>
  <c r="F99" i="1"/>
  <c r="H99" i="1"/>
  <c r="F93" i="1"/>
  <c r="H93" i="1"/>
  <c r="F65" i="1"/>
  <c r="F40" i="1"/>
  <c r="F20" i="1"/>
  <c r="F4" i="1"/>
  <c r="H4" i="1"/>
  <c r="H446" i="2"/>
  <c r="F74" i="1"/>
  <c r="H74" i="1"/>
  <c r="H65" i="1"/>
  <c r="F51" i="1"/>
  <c r="H51" i="1"/>
  <c r="H40" i="1"/>
  <c r="H20" i="1"/>
</calcChain>
</file>

<file path=xl/sharedStrings.xml><?xml version="1.0" encoding="utf-8"?>
<sst xmlns="http://schemas.openxmlformats.org/spreadsheetml/2006/main" count="2158" uniqueCount="1188">
  <si>
    <t xml:space="preserve">Organization </t>
  </si>
  <si>
    <t xml:space="preserve">Event </t>
  </si>
  <si>
    <t>Budget Line</t>
  </si>
  <si>
    <t>Item</t>
  </si>
  <si>
    <t>Allocations</t>
  </si>
  <si>
    <t>Spent</t>
  </si>
  <si>
    <t xml:space="preserve">Difference </t>
  </si>
  <si>
    <t>AAA</t>
  </si>
  <si>
    <t>Event</t>
  </si>
  <si>
    <t>Other Publicity</t>
  </si>
  <si>
    <t>Trifold</t>
  </si>
  <si>
    <t>Trifold materials</t>
  </si>
  <si>
    <t>Fortune cookies</t>
  </si>
  <si>
    <t>Poster board</t>
  </si>
  <si>
    <t>Office Supplies</t>
  </si>
  <si>
    <t>Dry-erase markers</t>
  </si>
  <si>
    <t>Pens/pencils</t>
  </si>
  <si>
    <t>Tape</t>
  </si>
  <si>
    <t>Stapler</t>
  </si>
  <si>
    <t>Scissors</t>
  </si>
  <si>
    <t>ACM SIGGRAPH</t>
  </si>
  <si>
    <t>Chalking</t>
  </si>
  <si>
    <t>Banner</t>
  </si>
  <si>
    <t>ACT</t>
  </si>
  <si>
    <t>Posters</t>
  </si>
  <si>
    <t>Banner materials</t>
  </si>
  <si>
    <t>Misc. show-specific pubilcity</t>
  </si>
  <si>
    <t>Fall Production</t>
  </si>
  <si>
    <t>Pre-Oct 15</t>
  </si>
  <si>
    <t>Tech. set design matrials</t>
  </si>
  <si>
    <t>Set materials/scenery</t>
  </si>
  <si>
    <t>Paint</t>
  </si>
  <si>
    <t>Props</t>
  </si>
  <si>
    <t>Costumes</t>
  </si>
  <si>
    <t>Hair and makeup</t>
  </si>
  <si>
    <t>Scripts</t>
  </si>
  <si>
    <t>Programs</t>
  </si>
  <si>
    <t>Lights</t>
  </si>
  <si>
    <t>Sound</t>
  </si>
  <si>
    <t>Professional designer</t>
  </si>
  <si>
    <t>Professional director</t>
  </si>
  <si>
    <t>Wired!</t>
  </si>
  <si>
    <t>Props/costumes/food/misc.</t>
  </si>
  <si>
    <t>Library staff supervision</t>
  </si>
  <si>
    <t>Kendall Supplies/CMS/Staff Charges</t>
  </si>
  <si>
    <t>Gaffer's/other tape</t>
  </si>
  <si>
    <t>Paint rollers</t>
  </si>
  <si>
    <t>Paint/lighting gels/other reaplcements</t>
  </si>
  <si>
    <t>Kendall supervision/staffing</t>
  </si>
  <si>
    <t>Active Minds</t>
  </si>
  <si>
    <t>Sidewalk chalk</t>
  </si>
  <si>
    <t>Pre-October 15</t>
  </si>
  <si>
    <t>Splashing Out Stigma</t>
  </si>
  <si>
    <t>Balloons</t>
  </si>
  <si>
    <t>Tri-fold</t>
  </si>
  <si>
    <t>Markers</t>
  </si>
  <si>
    <t>AMA</t>
  </si>
  <si>
    <t>AMP'd</t>
  </si>
  <si>
    <t>Studio Session</t>
  </si>
  <si>
    <t>Four hour block charge</t>
  </si>
  <si>
    <t>Additional hour</t>
  </si>
  <si>
    <t>Animal Rights Club</t>
  </si>
  <si>
    <t>Movie Screening</t>
  </si>
  <si>
    <t>Movie rights</t>
  </si>
  <si>
    <t>Barkada</t>
  </si>
  <si>
    <t>Membership Dues</t>
  </si>
  <si>
    <t xml:space="preserve">Filipino Intercollegiate Networking Dialogue, Inc. </t>
  </si>
  <si>
    <t>Fabric paint</t>
  </si>
  <si>
    <t>Construction paper</t>
  </si>
  <si>
    <t>AA bateries</t>
  </si>
  <si>
    <t>Scotch tape</t>
  </si>
  <si>
    <t>Foam paper</t>
  </si>
  <si>
    <t>Best Buddies</t>
  </si>
  <si>
    <t>Banners</t>
  </si>
  <si>
    <t>Best Buddies International</t>
  </si>
  <si>
    <t>Flight for mandatory conference</t>
  </si>
  <si>
    <t>Ice Cream Social</t>
  </si>
  <si>
    <t>Ice cream/cookies/other desserts</t>
  </si>
  <si>
    <t>Bowls/cups/napkins/spoons</t>
  </si>
  <si>
    <t>Drinks</t>
  </si>
  <si>
    <t>Pumpkin Decorating</t>
  </si>
  <si>
    <t>Pumpkins</t>
  </si>
  <si>
    <t>Markers/paint/brushes</t>
  </si>
  <si>
    <t>BSU</t>
  </si>
  <si>
    <t xml:space="preserve">Pens </t>
  </si>
  <si>
    <t>Pencils</t>
  </si>
  <si>
    <t>Folders</t>
  </si>
  <si>
    <t>Binders</t>
  </si>
  <si>
    <t>Chabad</t>
  </si>
  <si>
    <t>150 pushkas</t>
  </si>
  <si>
    <t>Jewish New Year</t>
  </si>
  <si>
    <t>Shofar workshop/sanding materials/decorations</t>
  </si>
  <si>
    <t>Traditional dinner</t>
  </si>
  <si>
    <t>Paper goods</t>
  </si>
  <si>
    <t>Farbreng-It-On</t>
  </si>
  <si>
    <t>Farbeisin finger foods/snacks</t>
  </si>
  <si>
    <t>Paper goods/decorations/table cloths</t>
  </si>
  <si>
    <t>Chezzi Denebeim (farbrengen leader)</t>
  </si>
  <si>
    <t>Sukkot Social</t>
  </si>
  <si>
    <t>Traditional holiday Seudah</t>
  </si>
  <si>
    <t>Yom Kippur Pre-Fast Dinner</t>
  </si>
  <si>
    <t>Traditional pre-fast meal (kreplach/challah)</t>
  </si>
  <si>
    <t>Lecture Series</t>
  </si>
  <si>
    <t>Four speakers</t>
  </si>
  <si>
    <t>Culture Fest</t>
  </si>
  <si>
    <t>Raw materials</t>
  </si>
  <si>
    <t>Tzitzis materials</t>
  </si>
  <si>
    <t>Candle sticks making materials</t>
  </si>
  <si>
    <t>Kosher pickle factory</t>
  </si>
  <si>
    <t>Challah braiding workshop</t>
  </si>
  <si>
    <t>Chi Upsilon Sigma</t>
  </si>
  <si>
    <t>Cussie Bootcamp</t>
  </si>
  <si>
    <t>Three marine instructors</t>
  </si>
  <si>
    <t>Energy bars and drinks</t>
  </si>
  <si>
    <t>Buddhist</t>
  </si>
  <si>
    <t>Circle K</t>
  </si>
  <si>
    <t>International dues</t>
  </si>
  <si>
    <t>Circle of Compassion</t>
  </si>
  <si>
    <t>Let Your Yoga Dance</t>
  </si>
  <si>
    <t>Yoga instructor + travel</t>
  </si>
  <si>
    <t>CSA</t>
  </si>
  <si>
    <t>Advertising board</t>
  </si>
  <si>
    <t>CUB</t>
  </si>
  <si>
    <t>Creative base budgeted event publicity</t>
  </si>
  <si>
    <t>Welcome back week signs</t>
  </si>
  <si>
    <t>Welcome week signs</t>
  </si>
  <si>
    <t>Banners (8 total @ $10 each)</t>
  </si>
  <si>
    <t>Telephone</t>
  </si>
  <si>
    <t>NACA dues</t>
  </si>
  <si>
    <t>Sam's Club nembership</t>
  </si>
  <si>
    <t>Local service</t>
  </si>
  <si>
    <t>Long distance</t>
  </si>
  <si>
    <t>Gaffer's tape</t>
  </si>
  <si>
    <t>General ofice supplies</t>
  </si>
  <si>
    <t>FedEx</t>
  </si>
  <si>
    <t>Welcome Week Film Showing</t>
  </si>
  <si>
    <t>Film rights (2)</t>
  </si>
  <si>
    <t>Projector/screen rental</t>
  </si>
  <si>
    <t xml:space="preserve">Police </t>
  </si>
  <si>
    <t>Electrician + grounds</t>
  </si>
  <si>
    <t>Refreshments</t>
  </si>
  <si>
    <t>Return shipping and insurance</t>
  </si>
  <si>
    <t>Welcome Week contribution</t>
  </si>
  <si>
    <t>3 for Free Comedy Show</t>
  </si>
  <si>
    <t>Comedians (3)</t>
  </si>
  <si>
    <t>Kendall fees</t>
  </si>
  <si>
    <t>Hospitality</t>
  </si>
  <si>
    <t>Film Series</t>
  </si>
  <si>
    <t>Films ($850 x 13 films x 2 semesters)</t>
  </si>
  <si>
    <t>Nooners</t>
  </si>
  <si>
    <t>Nooners ($3000 x 5 nooners x 2 semesters)</t>
  </si>
  <si>
    <t>Bus Trips</t>
  </si>
  <si>
    <t>15 coach buses ($1200 each + 10%)</t>
  </si>
  <si>
    <t>15 school buses ($1200 each + 10%)</t>
  </si>
  <si>
    <t>Parking fees ($50 x 15)</t>
  </si>
  <si>
    <t>Outdoor Movies</t>
  </si>
  <si>
    <t>Films ($850 x 2 films x 2 nights)</t>
  </si>
  <si>
    <t>Projector/screen rental (x2)</t>
  </si>
  <si>
    <t>Electrician + grounds (x2)</t>
  </si>
  <si>
    <t>Refreshments (x2)</t>
  </si>
  <si>
    <t>Return shipping and insurance (x2)</t>
  </si>
  <si>
    <t>Rat magnets fall</t>
  </si>
  <si>
    <t>Rat magnets spring</t>
  </si>
  <si>
    <t>Rat vinyl banner fall</t>
  </si>
  <si>
    <t>Rat vinyl banner spring</t>
  </si>
  <si>
    <t>Outside Rat shows</t>
  </si>
  <si>
    <t>12 shows ($3500 x 12)</t>
  </si>
  <si>
    <t>Meal vouchers ($10 x 120)</t>
  </si>
  <si>
    <t>Sound tech ($100 x 12)</t>
  </si>
  <si>
    <t>Decorations ($100 x 4)</t>
  </si>
  <si>
    <t>Hospitality (water and towels)</t>
  </si>
  <si>
    <t>Student soloist nights</t>
  </si>
  <si>
    <t>Soloists ($35 x 7 shows x 4 soloists)</t>
  </si>
  <si>
    <t>Sound tech ($100 x 7)</t>
  </si>
  <si>
    <t>Student bands</t>
  </si>
  <si>
    <t>Bands ($250 x 7 shows x 3 bands)</t>
  </si>
  <si>
    <t>Sound tech ($100 x 7 shows)</t>
  </si>
  <si>
    <t>Deaf Hearing Connection</t>
  </si>
  <si>
    <t>Trifold supplies</t>
  </si>
  <si>
    <t>Ed@TCNJ</t>
  </si>
  <si>
    <t>EME</t>
  </si>
  <si>
    <t>Chalk</t>
  </si>
  <si>
    <t>Financial Management Association</t>
  </si>
  <si>
    <t>Monthly guest speakers</t>
  </si>
  <si>
    <t>Speakers (x8)</t>
  </si>
  <si>
    <t>French Club</t>
  </si>
  <si>
    <t>Bus</t>
  </si>
  <si>
    <t>FUSE</t>
  </si>
  <si>
    <t>Decorations</t>
  </si>
  <si>
    <t>September Friendship Day</t>
  </si>
  <si>
    <t>Activities (art supplies)</t>
  </si>
  <si>
    <t>Food</t>
  </si>
  <si>
    <t>Friendship Days</t>
  </si>
  <si>
    <t>Decorations ($45 x 5)</t>
  </si>
  <si>
    <t>Activities ($40 x 5)</t>
  </si>
  <si>
    <t>Food ($40 x 5)</t>
  </si>
  <si>
    <t>Omclusive Playgroups</t>
  </si>
  <si>
    <t>Season activity ($75 x 6)</t>
  </si>
  <si>
    <t>Decorations ($25 x 6)</t>
  </si>
  <si>
    <t>Games ($25 x 6)</t>
  </si>
  <si>
    <t>GUM</t>
  </si>
  <si>
    <t>Habitat for Humanity</t>
  </si>
  <si>
    <t>Activities Fair</t>
  </si>
  <si>
    <t>Pens</t>
  </si>
  <si>
    <t>Sleep Out to Speak Out</t>
  </si>
  <si>
    <t>Duct tape</t>
  </si>
  <si>
    <t xml:space="preserve">Four tarps </t>
  </si>
  <si>
    <t>IGC</t>
  </si>
  <si>
    <t>Northeastern Greek Leadership Association</t>
  </si>
  <si>
    <t>National Pan-Hellenic Conference</t>
  </si>
  <si>
    <t>Association of Fraternal Leadership and Values</t>
  </si>
  <si>
    <t>North American Inter-Fraternal Council</t>
  </si>
  <si>
    <t>Pens/folders/notepads/staples/paperclips</t>
  </si>
  <si>
    <t>Calendar</t>
  </si>
  <si>
    <t xml:space="preserve">Envelopes </t>
  </si>
  <si>
    <t>Jiva</t>
  </si>
  <si>
    <t>Competition 1 (Upitt Dhirma)</t>
  </si>
  <si>
    <t>Application fee</t>
  </si>
  <si>
    <t>Registration ($25 per person)</t>
  </si>
  <si>
    <t>Registrartion ($40 per person)</t>
  </si>
  <si>
    <t>Kokikai Aikido</t>
  </si>
  <si>
    <t>Medical kit</t>
  </si>
  <si>
    <t xml:space="preserve">Medium workplace first aid cabinet </t>
  </si>
  <si>
    <t>LDP</t>
  </si>
  <si>
    <t>Markers and tape</t>
  </si>
  <si>
    <t>Easel-pad paper</t>
  </si>
  <si>
    <t>Meeting supplies(hoola-hoops, bandanas, etc.)</t>
  </si>
  <si>
    <t>Nametags</t>
  </si>
  <si>
    <t>Fall Leadership Retreat</t>
  </si>
  <si>
    <t>Lodging/meals ($113/person)</t>
  </si>
  <si>
    <t>General supplies</t>
  </si>
  <si>
    <t>Facilitator Trainings</t>
  </si>
  <si>
    <t>Supplies (crafts, balls, ropes, etc.)</t>
  </si>
  <si>
    <t>Lion's Eye</t>
  </si>
  <si>
    <t>Fall/Spring Issues</t>
  </si>
  <si>
    <t xml:space="preserve">Fall issue </t>
  </si>
  <si>
    <t>Spring issue</t>
  </si>
  <si>
    <t>MEDLIFE</t>
  </si>
  <si>
    <t>Green Lawn Wall</t>
  </si>
  <si>
    <t>NABA</t>
  </si>
  <si>
    <t>Financial Literacy Meetings</t>
  </si>
  <si>
    <t>Light refreshments ($15 x 10)</t>
  </si>
  <si>
    <t>Small gift ($25 x 10)</t>
  </si>
  <si>
    <t>Net Impact</t>
  </si>
  <si>
    <t xml:space="preserve">Other Publicity </t>
  </si>
  <si>
    <t>Stadium cups</t>
  </si>
  <si>
    <t>Sharpies</t>
  </si>
  <si>
    <t>Jonathan Walton</t>
  </si>
  <si>
    <t>Travel expenses</t>
  </si>
  <si>
    <t>Honorarium</t>
  </si>
  <si>
    <t xml:space="preserve">"Connect" Overnight Bonding </t>
  </si>
  <si>
    <t>Meals</t>
  </si>
  <si>
    <t>Materials</t>
  </si>
  <si>
    <t>CCLI song licensing</t>
  </si>
  <si>
    <t>Paper plates</t>
  </si>
  <si>
    <t>Paper cups</t>
  </si>
  <si>
    <t>Napkins</t>
  </si>
  <si>
    <t>Paper bowls</t>
  </si>
  <si>
    <t>Plastic spoons</t>
  </si>
  <si>
    <t>Athletes InterVarsity</t>
  </si>
  <si>
    <t>Thursday Services</t>
  </si>
  <si>
    <t>Protestant Bible Fellowship</t>
  </si>
  <si>
    <t>Bible Studies</t>
  </si>
  <si>
    <t>Craft supplies</t>
  </si>
  <si>
    <t>Sunday Worship Guest Speakers</t>
  </si>
  <si>
    <t>Honorariums ($28.95 x 10)</t>
  </si>
  <si>
    <t>Pep Band</t>
  </si>
  <si>
    <t>Weekly Rehearsals</t>
  </si>
  <si>
    <t>Musical coach</t>
  </si>
  <si>
    <t>Music ($60 x 20)</t>
  </si>
  <si>
    <t>Instrumentation/Repair</t>
  </si>
  <si>
    <t>Folios</t>
  </si>
  <si>
    <t>Folio sheets</t>
  </si>
  <si>
    <t>Lyres</t>
  </si>
  <si>
    <t>Mellophones ($1595 x 2)</t>
  </si>
  <si>
    <t>Repair expense</t>
  </si>
  <si>
    <t>Phi Beta Lamda</t>
  </si>
  <si>
    <t>Guest Speakers</t>
  </si>
  <si>
    <t>Thank you gift ($25 x 6)</t>
  </si>
  <si>
    <t>Physics Club</t>
  </si>
  <si>
    <t>Hopewell Elementary Science Fair</t>
  </si>
  <si>
    <t>Misc. costs</t>
  </si>
  <si>
    <t>Cosmos Screening</t>
  </si>
  <si>
    <t>Licensing</t>
  </si>
  <si>
    <t>PRISM</t>
  </si>
  <si>
    <t>Spray paint</t>
  </si>
  <si>
    <t>Exterior paint</t>
  </si>
  <si>
    <t>Paintbrushes</t>
  </si>
  <si>
    <t>Packing tape</t>
  </si>
  <si>
    <t>Trifolds</t>
  </si>
  <si>
    <t>Staplers</t>
  </si>
  <si>
    <t>Bookcase</t>
  </si>
  <si>
    <t>Queer Ball</t>
  </si>
  <si>
    <t>Food supplies</t>
  </si>
  <si>
    <t>Pizza</t>
  </si>
  <si>
    <t>Soda</t>
  </si>
  <si>
    <t>WTSR DJ</t>
  </si>
  <si>
    <t>Colored copies</t>
  </si>
  <si>
    <t>Decorations/favors</t>
  </si>
  <si>
    <t>Queer Awareness Month</t>
  </si>
  <si>
    <t>Stakes</t>
  </si>
  <si>
    <t>Ribbon</t>
  </si>
  <si>
    <t>Flags</t>
  </si>
  <si>
    <t>Flag stand</t>
  </si>
  <si>
    <t>Flag pole</t>
  </si>
  <si>
    <t>Pride flags</t>
  </si>
  <si>
    <t>RHA</t>
  </si>
  <si>
    <t>Telepone</t>
  </si>
  <si>
    <t>Office supplies</t>
  </si>
  <si>
    <t>Labels</t>
  </si>
  <si>
    <t>Welcome Week Mats</t>
  </si>
  <si>
    <t xml:space="preserve">Fabric paint </t>
  </si>
  <si>
    <t>Saathiya</t>
  </si>
  <si>
    <t>All Performances</t>
  </si>
  <si>
    <t>Gas</t>
  </si>
  <si>
    <t>Competition acceptance</t>
  </si>
  <si>
    <t>Makeup</t>
  </si>
  <si>
    <t>SAFE</t>
  </si>
  <si>
    <t>Poster</t>
  </si>
  <si>
    <t>Chalk drawings</t>
  </si>
  <si>
    <t>Webinars</t>
  </si>
  <si>
    <t>Food/snacks for speakers</t>
  </si>
  <si>
    <t>Food/snacks for webinars</t>
  </si>
  <si>
    <t>SCA (Student Chemists Association)</t>
  </si>
  <si>
    <t>SDA (Students for Disability Awareness)</t>
  </si>
  <si>
    <t>Laptop stickers</t>
  </si>
  <si>
    <t>Poster materials</t>
  </si>
  <si>
    <t>Stomp the Stigma Week</t>
  </si>
  <si>
    <t>Speakers ($1000 x 2)</t>
  </si>
  <si>
    <t>Hospitality/travel</t>
  </si>
  <si>
    <t>Fall semester mailing</t>
  </si>
  <si>
    <t>Spring semester mailing</t>
  </si>
  <si>
    <t>SFB</t>
  </si>
  <si>
    <t>Desk calendars</t>
  </si>
  <si>
    <t>Desk plaques</t>
  </si>
  <si>
    <t>Pendaflex file folders</t>
  </si>
  <si>
    <t>Labels/binder inserts</t>
  </si>
  <si>
    <t>Checks (2500)</t>
  </si>
  <si>
    <t>Envelopes (2500)</t>
  </si>
  <si>
    <t>Staplers/staples</t>
  </si>
  <si>
    <t>Vertical wall mount sign holders</t>
  </si>
  <si>
    <t>Dry-erase markers and board cleaner</t>
  </si>
  <si>
    <t>Electronic money counter</t>
  </si>
  <si>
    <t>Hole puncher</t>
  </si>
  <si>
    <t>Allocation sheets</t>
  </si>
  <si>
    <t>Notepads/post-its</t>
  </si>
  <si>
    <t>Safe Lock Change</t>
  </si>
  <si>
    <t>Locksmith</t>
  </si>
  <si>
    <t>Audit</t>
  </si>
  <si>
    <t>Mercadien audit fee</t>
  </si>
  <si>
    <t>Shredding fee</t>
  </si>
  <si>
    <t>Annual Shredding</t>
  </si>
  <si>
    <t>Voucher Scanning</t>
  </si>
  <si>
    <t>Archival micrographics fee</t>
  </si>
  <si>
    <t>SG</t>
  </si>
  <si>
    <t>Election packets/brochures</t>
  </si>
  <si>
    <t>Creative publicity</t>
  </si>
  <si>
    <t>Senator displays</t>
  </si>
  <si>
    <t>Website expenses</t>
  </si>
  <si>
    <t>Stationary + envelopes</t>
  </si>
  <si>
    <t>Legal Services</t>
  </si>
  <si>
    <t>Legal fee</t>
  </si>
  <si>
    <t>Lobbying Program</t>
  </si>
  <si>
    <t>Gas/tolls/parking</t>
  </si>
  <si>
    <t>Fall Finals Fest</t>
  </si>
  <si>
    <t>Massage therapists</t>
  </si>
  <si>
    <t>Mama Flora's pizza</t>
  </si>
  <si>
    <t>Photos with Roscue</t>
  </si>
  <si>
    <t>Spring Finals Fest</t>
  </si>
  <si>
    <t>Advocacy Campaigns</t>
  </si>
  <si>
    <t>Administration &amp; finance</t>
  </si>
  <si>
    <t>Advancement</t>
  </si>
  <si>
    <t>Student services</t>
  </si>
  <si>
    <t>Community relations</t>
  </si>
  <si>
    <t>Academic affairs</t>
  </si>
  <si>
    <t>Governmental affairs</t>
  </si>
  <si>
    <t>Equity &amp; diversity</t>
  </si>
  <si>
    <t>She's the First</t>
  </si>
  <si>
    <t>The Signal</t>
  </si>
  <si>
    <t>The Seal</t>
  </si>
  <si>
    <t>The Associated Press</t>
  </si>
  <si>
    <t>New Jersey Press Foundation</t>
  </si>
  <si>
    <t>Brother printer ink</t>
  </si>
  <si>
    <t>Brother printed tabloid paper</t>
  </si>
  <si>
    <t>Pens/staples/paper/other</t>
  </si>
  <si>
    <t>Society for Creative Endeavors</t>
  </si>
  <si>
    <t>Pokemon Adventure</t>
  </si>
  <si>
    <t>Supplies</t>
  </si>
  <si>
    <t>Publicity</t>
  </si>
  <si>
    <t>Prizes</t>
  </si>
  <si>
    <t>Table Flip for Stress</t>
  </si>
  <si>
    <t>Folding tables (3)</t>
  </si>
  <si>
    <t>Society for Parlimentary Debate</t>
  </si>
  <si>
    <t>Total chalking</t>
  </si>
  <si>
    <t>Total banners</t>
  </si>
  <si>
    <t>American Parliamnetary Debate Association</t>
  </si>
  <si>
    <t>Spring 2016 tournaments</t>
  </si>
  <si>
    <t>Fall 2015 tournaments</t>
  </si>
  <si>
    <t>National registration 1 team</t>
  </si>
  <si>
    <t>Spanish Club</t>
  </si>
  <si>
    <t>NYC Bus Trip</t>
  </si>
  <si>
    <t>Coach bus</t>
  </si>
  <si>
    <t>Student Film Union</t>
  </si>
  <si>
    <t>Stud banner</t>
  </si>
  <si>
    <t>Student United Way</t>
  </si>
  <si>
    <t>Banner mateirals</t>
  </si>
  <si>
    <t>Athletic equipment</t>
  </si>
  <si>
    <t>Swing Dance Club</t>
  </si>
  <si>
    <t>Fall Lessons</t>
  </si>
  <si>
    <t>Professional instructor ($100 x 10)</t>
  </si>
  <si>
    <t xml:space="preserve">Gas compensation for instructor </t>
  </si>
  <si>
    <t>Speakers</t>
  </si>
  <si>
    <t>Spring Lessons</t>
  </si>
  <si>
    <t>Synergy</t>
  </si>
  <si>
    <t>TMT</t>
  </si>
  <si>
    <t>Banners/materials (4)</t>
  </si>
  <si>
    <t>Green Lane wall paint materials</t>
  </si>
  <si>
    <t>Trentones</t>
  </si>
  <si>
    <t>ICCAs</t>
  </si>
  <si>
    <t>ICCAs fee</t>
  </si>
  <si>
    <t>Union Latina</t>
  </si>
  <si>
    <t>Gala de la Raza</t>
  </si>
  <si>
    <t>Folkloric performance</t>
  </si>
  <si>
    <t>Traditional latino food</t>
  </si>
  <si>
    <t>Decorations/culteries/beverages</t>
  </si>
  <si>
    <t>UL Turns 40</t>
  </si>
  <si>
    <t xml:space="preserve">Performers </t>
  </si>
  <si>
    <t>Entertainment</t>
  </si>
  <si>
    <t>Water Watch</t>
  </si>
  <si>
    <t>Campus Clean Ups</t>
  </si>
  <si>
    <t>Gloves</t>
  </si>
  <si>
    <t>Community Garden</t>
  </si>
  <si>
    <t>Jersalem artichkoe tubers</t>
  </si>
  <si>
    <t>Garden hose</t>
  </si>
  <si>
    <t>Seed packets</t>
  </si>
  <si>
    <t>Women's Center</t>
  </si>
  <si>
    <t>Staples</t>
  </si>
  <si>
    <t>Paper clips</t>
  </si>
  <si>
    <t>Card stock paper</t>
  </si>
  <si>
    <t>Index cards</t>
  </si>
  <si>
    <t>Post-its</t>
  </si>
  <si>
    <t>Meeting Date</t>
  </si>
  <si>
    <t>Base Budget Retreat 2016</t>
  </si>
  <si>
    <t>Special App</t>
  </si>
  <si>
    <t>Retreats</t>
  </si>
  <si>
    <t>Conference Room/Hotel Rooms</t>
  </si>
  <si>
    <t>Summer Retreat</t>
  </si>
  <si>
    <t>Housing</t>
  </si>
  <si>
    <t>Fall Lecture</t>
  </si>
  <si>
    <t>Laverne Cox</t>
  </si>
  <si>
    <t>Shawn Johnson</t>
  </si>
  <si>
    <t>Steve-O</t>
  </si>
  <si>
    <t>Tyler Posey</t>
  </si>
  <si>
    <t>Agency fee</t>
  </si>
  <si>
    <t>Police</t>
  </si>
  <si>
    <t>Fall Concert</t>
  </si>
  <si>
    <t>High Volume</t>
  </si>
  <si>
    <t xml:space="preserve">The 1975 </t>
  </si>
  <si>
    <t>Bleachers</t>
  </si>
  <si>
    <t>Walk the Moon</t>
  </si>
  <si>
    <t>Cage the Elephant</t>
  </si>
  <si>
    <t>The Gaslight Anthem</t>
  </si>
  <si>
    <t>The Head and the Heart</t>
  </si>
  <si>
    <t>The Kooks</t>
  </si>
  <si>
    <t>Dirty Heads</t>
  </si>
  <si>
    <t>Total talent budget</t>
  </si>
  <si>
    <t>Borns</t>
  </si>
  <si>
    <t>Aer</t>
  </si>
  <si>
    <t>Bad Suns</t>
  </si>
  <si>
    <t>Halsey</t>
  </si>
  <si>
    <t>Young Rising Sons</t>
  </si>
  <si>
    <t>The Griswolds</t>
  </si>
  <si>
    <t>Modern Baseball</t>
  </si>
  <si>
    <t>Waters</t>
  </si>
  <si>
    <t>Opener</t>
  </si>
  <si>
    <t>Vinyl Theatre</t>
  </si>
  <si>
    <t>Sound/production</t>
  </si>
  <si>
    <t>Strikeforce</t>
  </si>
  <si>
    <t>Electrician</t>
  </si>
  <si>
    <t>Lions EMS</t>
  </si>
  <si>
    <t>Middle agency fee</t>
  </si>
  <si>
    <t>Ticket fees</t>
  </si>
  <si>
    <t>Fall Comedy Show</t>
  </si>
  <si>
    <t>Bo Burnham</t>
  </si>
  <si>
    <t>Nick Kroll</t>
  </si>
  <si>
    <t>Hannibal Buress</t>
  </si>
  <si>
    <t>Cecily Strong</t>
  </si>
  <si>
    <t>Thomas Middleditch and Kumail Nanjiani</t>
  </si>
  <si>
    <t>Jay Pharoah</t>
  </si>
  <si>
    <t>Kate McKinnon</t>
  </si>
  <si>
    <t>Chelsea Peretti</t>
  </si>
  <si>
    <t>TJ Miller</t>
  </si>
  <si>
    <t>Steve Ranassizzi</t>
  </si>
  <si>
    <t>Colin Jost</t>
  </si>
  <si>
    <t>Sound tech</t>
  </si>
  <si>
    <t>Catering and hospitality</t>
  </si>
  <si>
    <t>Piano tuning</t>
  </si>
  <si>
    <t>Godspell (Fall Production)</t>
  </si>
  <si>
    <t>Rights and royalties</t>
  </si>
  <si>
    <t>Set</t>
  </si>
  <si>
    <t>Lighting</t>
  </si>
  <si>
    <t>Stage/house management</t>
  </si>
  <si>
    <t>Rental instruments</t>
  </si>
  <si>
    <t>Ticket revenue</t>
  </si>
  <si>
    <t>Big Gay Bingo</t>
  </si>
  <si>
    <t>1st prize</t>
  </si>
  <si>
    <t>2nd prize</t>
  </si>
  <si>
    <t>Host</t>
  </si>
  <si>
    <t>Kit Yan</t>
  </si>
  <si>
    <t>Slam poetry show</t>
  </si>
  <si>
    <t>Slam poetry workshop</t>
  </si>
  <si>
    <t>Workshop</t>
  </si>
  <si>
    <t>A March to End Rape Culture</t>
  </si>
  <si>
    <t>Zerlina Maxwell speaker fee</t>
  </si>
  <si>
    <t>Travel/hospitality</t>
  </si>
  <si>
    <t>Room expenses</t>
  </si>
  <si>
    <t>Union Latina &amp; LDP</t>
  </si>
  <si>
    <t>Soledad O'Brien</t>
  </si>
  <si>
    <t>Additional funds</t>
  </si>
  <si>
    <t>Monthly Shabbat Celebrations</t>
  </si>
  <si>
    <t>Traditional Shabbat dinner</t>
  </si>
  <si>
    <t>Hotel</t>
  </si>
  <si>
    <t>Snacks/refreshments/lunch</t>
  </si>
  <si>
    <t>BSC Programming</t>
  </si>
  <si>
    <t>Club Sports</t>
  </si>
  <si>
    <t>Passport to Programming</t>
  </si>
  <si>
    <t>Loop Bus</t>
  </si>
  <si>
    <t>Social Space Staff</t>
  </si>
  <si>
    <t>Sound Tech Training</t>
  </si>
  <si>
    <t>Student Employee Wages</t>
  </si>
  <si>
    <t>Copier Lease</t>
  </si>
  <si>
    <t>Copier Paper</t>
  </si>
  <si>
    <t>Student Org Cap Equipment</t>
  </si>
  <si>
    <t>Club Sports Cap Equipment</t>
  </si>
  <si>
    <t>Insurance</t>
  </si>
  <si>
    <t>Weekend Enhancement</t>
  </si>
  <si>
    <t>Signal</t>
  </si>
  <si>
    <t>TCNJ Box Office Staff</t>
  </si>
  <si>
    <t>CollegiateLink</t>
  </si>
  <si>
    <t>Total</t>
  </si>
  <si>
    <t>Budgeted</t>
  </si>
  <si>
    <t>Email Vote</t>
  </si>
  <si>
    <t>Copies</t>
  </si>
  <si>
    <t>Copies due to Ricoh being down</t>
  </si>
  <si>
    <t>Copies (email vote)</t>
  </si>
  <si>
    <t>Total office supplies</t>
  </si>
  <si>
    <t>Advocate!</t>
  </si>
  <si>
    <t>SG Resource Center</t>
  </si>
  <si>
    <t>Bongo drums</t>
  </si>
  <si>
    <t>A Touch of Home</t>
  </si>
  <si>
    <t>DJ Bean</t>
  </si>
  <si>
    <t>Water</t>
  </si>
  <si>
    <t>Henna Artist</t>
  </si>
  <si>
    <t>World Map</t>
  </si>
  <si>
    <t>*Equity &amp; Diversity campaign will pay Sodexo</t>
  </si>
  <si>
    <t>MSA</t>
  </si>
  <si>
    <t>Eid Dinner</t>
  </si>
  <si>
    <t>Multicultural</t>
  </si>
  <si>
    <t>Speaker</t>
  </si>
  <si>
    <t>Afghan Kabob &amp; Grill</t>
  </si>
  <si>
    <t>Shezan</t>
  </si>
  <si>
    <t>Utilities</t>
  </si>
  <si>
    <t>Wristbands</t>
  </si>
  <si>
    <t>De-talks</t>
  </si>
  <si>
    <t>Fruits/veggies</t>
  </si>
  <si>
    <t>Water/ice</t>
  </si>
  <si>
    <t>Containers</t>
  </si>
  <si>
    <t>Cups/napkins</t>
  </si>
  <si>
    <t>Shoprite gift card</t>
  </si>
  <si>
    <t>I Am Not My Hair</t>
  </si>
  <si>
    <t>Avocados</t>
  </si>
  <si>
    <t>Oil</t>
  </si>
  <si>
    <t>Eggs</t>
  </si>
  <si>
    <t>Vinegar</t>
  </si>
  <si>
    <t>Bowls</t>
  </si>
  <si>
    <t>Aloe Vera plants</t>
  </si>
  <si>
    <t>Mixing sticks</t>
  </si>
  <si>
    <t>What Not To Wear</t>
  </si>
  <si>
    <t>Clothing gift cards (2)</t>
  </si>
  <si>
    <t>Balloons with helium</t>
  </si>
  <si>
    <t>Red carpet</t>
  </si>
  <si>
    <t>Diamonds of Sierra Leone</t>
  </si>
  <si>
    <t>Plastic diamond rings</t>
  </si>
  <si>
    <t>Quickbooks Upgrade</t>
  </si>
  <si>
    <t>Welcome Week Copies (email vote)</t>
  </si>
  <si>
    <t>Homecoming Spirit Week</t>
  </si>
  <si>
    <t>Banner/Dowel/Paint/Brushes</t>
  </si>
  <si>
    <t>Clipboards</t>
  </si>
  <si>
    <t>Staffing t-shirts</t>
  </si>
  <si>
    <t>Trophy</t>
  </si>
  <si>
    <t>Highlighters</t>
  </si>
  <si>
    <t>Stopwatches</t>
  </si>
  <si>
    <t>Gloria Steinem</t>
  </si>
  <si>
    <t>SFB Contribution</t>
  </si>
  <si>
    <t>Hillel</t>
  </si>
  <si>
    <t>Sukkot</t>
  </si>
  <si>
    <t>Pumpins</t>
  </si>
  <si>
    <t>Paint &amp; utensils</t>
  </si>
  <si>
    <t>King and Queen</t>
  </si>
  <si>
    <t>Flowers</t>
  </si>
  <si>
    <t>Crown/ Scepter/Sashes</t>
  </si>
  <si>
    <t>Spirit Week Insurance</t>
  </si>
  <si>
    <t>Twine and Dowels</t>
  </si>
  <si>
    <t>Spirit Banner</t>
  </si>
  <si>
    <t>Tie Dye</t>
  </si>
  <si>
    <t>Tie Dye materials</t>
  </si>
  <si>
    <t>750 shirts</t>
  </si>
  <si>
    <t>Volleyball Tournamenet</t>
  </si>
  <si>
    <t>DJ</t>
  </si>
  <si>
    <t>Recreation Center Staff</t>
  </si>
  <si>
    <t>Water and cups</t>
  </si>
  <si>
    <t>Replacement supplies</t>
  </si>
  <si>
    <t>Rally Towels</t>
  </si>
  <si>
    <t>LEG Enterprises</t>
  </si>
  <si>
    <t>Cover band</t>
  </si>
  <si>
    <t>Blue and Gold Day</t>
  </si>
  <si>
    <t>Spirit Item Giveaways</t>
  </si>
  <si>
    <t>Cupcake Giveaway</t>
  </si>
  <si>
    <t>Lip Sync and Dance</t>
  </si>
  <si>
    <t>DJ/Stage/Lighting</t>
  </si>
  <si>
    <t>Rec Center</t>
  </si>
  <si>
    <t>Gaffer's Tape/Caution Tape</t>
  </si>
  <si>
    <t>Grounds</t>
  </si>
  <si>
    <t>Staffing/judges supplies</t>
  </si>
  <si>
    <t>These were purchased</t>
  </si>
  <si>
    <t>WTSR</t>
  </si>
  <si>
    <t xml:space="preserve">Campus Police </t>
  </si>
  <si>
    <t>Homecoming</t>
  </si>
  <si>
    <t>DJ - Joey and Paul</t>
  </si>
  <si>
    <t>DJ - Cultural</t>
  </si>
  <si>
    <t>Breakfast</t>
  </si>
  <si>
    <t>Ksound</t>
  </si>
  <si>
    <t>Washed back 9/29</t>
  </si>
  <si>
    <t>INK</t>
  </si>
  <si>
    <t>Meena Alexander</t>
  </si>
  <si>
    <t>Honorarium for Meena Alexander</t>
  </si>
  <si>
    <t>Travel</t>
  </si>
  <si>
    <t>Sarah Blake</t>
  </si>
  <si>
    <t>Honorarium for Sarah Blake</t>
  </si>
  <si>
    <t>The Goods (Fall)</t>
  </si>
  <si>
    <t>Honorarium for Rachel Kann</t>
  </si>
  <si>
    <t>Sound techs</t>
  </si>
  <si>
    <t>The Goods (Spring)</t>
  </si>
  <si>
    <t>Honorarium for Anthony Buccino</t>
  </si>
  <si>
    <t>Making an Achievement Conference</t>
  </si>
  <si>
    <t>Kevin Powell</t>
  </si>
  <si>
    <t>Decorations and supplies</t>
  </si>
  <si>
    <t>Law enforcement workshop</t>
  </si>
  <si>
    <t>Immigration workshop</t>
  </si>
  <si>
    <t>Class of 2016</t>
  </si>
  <si>
    <t>Food Truck Senior Year</t>
  </si>
  <si>
    <t>Class Council</t>
  </si>
  <si>
    <t>Busses</t>
  </si>
  <si>
    <t>Evening of Shorts</t>
  </si>
  <si>
    <t>Scripts/royalties</t>
  </si>
  <si>
    <t>Scenery</t>
  </si>
  <si>
    <t>Kendall</t>
  </si>
  <si>
    <t>Non-student income</t>
  </si>
  <si>
    <t>Math and Stat</t>
  </si>
  <si>
    <t>MoMath Museum</t>
  </si>
  <si>
    <t>Broadway Night</t>
  </si>
  <si>
    <t>House management</t>
  </si>
  <si>
    <t>Fall Latenighter</t>
  </si>
  <si>
    <t>Silent Storm</t>
  </si>
  <si>
    <t>KSound</t>
  </si>
  <si>
    <t>Photobooth</t>
  </si>
  <si>
    <t>Blacklight mini-golf</t>
  </si>
  <si>
    <t>Campus Police</t>
  </si>
  <si>
    <t>Strike Force</t>
  </si>
  <si>
    <t>Giveaways</t>
  </si>
  <si>
    <t>Meals for vendors</t>
  </si>
  <si>
    <t>Building services</t>
  </si>
  <si>
    <t>Gaff</t>
  </si>
  <si>
    <t>TCNJ EMS</t>
  </si>
  <si>
    <t>BSC staff</t>
  </si>
  <si>
    <t>Multicultural Buffet</t>
  </si>
  <si>
    <t>Bubble tea supplies</t>
  </si>
  <si>
    <t>Admission</t>
  </si>
  <si>
    <t>Bubble tea income</t>
  </si>
  <si>
    <t>Chinatown Bus Trip</t>
  </si>
  <si>
    <t>TOTAL</t>
  </si>
  <si>
    <t>Washed back 10/1</t>
  </si>
  <si>
    <t>Field Games</t>
  </si>
  <si>
    <t xml:space="preserve">Supplies </t>
  </si>
  <si>
    <t>Hot chocolate &amp; water (Sodexo)</t>
  </si>
  <si>
    <t>Chalk Space Art</t>
  </si>
  <si>
    <t>Paper</t>
  </si>
  <si>
    <t>Rosh Hashanah</t>
  </si>
  <si>
    <t>Apples and honey</t>
  </si>
  <si>
    <t>Desserts</t>
  </si>
  <si>
    <t>Bread</t>
  </si>
  <si>
    <t>Shabbat &amp; Havdalah</t>
  </si>
  <si>
    <t>Dinner and beverages ($350)</t>
  </si>
  <si>
    <t>Challah</t>
  </si>
  <si>
    <t>Grape juice</t>
  </si>
  <si>
    <t>Dinnerware</t>
  </si>
  <si>
    <t>Special candle</t>
  </si>
  <si>
    <t>Spices</t>
  </si>
  <si>
    <t>Performance rights</t>
  </si>
  <si>
    <t>Monthly Movie Series</t>
  </si>
  <si>
    <t>Yom Kippur</t>
  </si>
  <si>
    <t>Pre-Fast</t>
  </si>
  <si>
    <t>Post-Fast</t>
  </si>
  <si>
    <t>T-Shirt Swap</t>
  </si>
  <si>
    <t>1,100 tees</t>
  </si>
  <si>
    <t>500 koozies</t>
  </si>
  <si>
    <t>500 smoothies</t>
  </si>
  <si>
    <t>Helium tanks</t>
  </si>
  <si>
    <t>Halloween Spooktacular</t>
  </si>
  <si>
    <t>Decorations/prizes</t>
  </si>
  <si>
    <t>Pre-Dental</t>
  </si>
  <si>
    <t>Keep Your Fangs Clean</t>
  </si>
  <si>
    <t>Toothbrushes</t>
  </si>
  <si>
    <t>Toothpaste</t>
  </si>
  <si>
    <t>Floss picks</t>
  </si>
  <si>
    <t>Fangs</t>
  </si>
  <si>
    <t>Candy</t>
  </si>
  <si>
    <t>Goody bags</t>
  </si>
  <si>
    <t>Shipping</t>
  </si>
  <si>
    <t>Lucas Brothers</t>
  </si>
  <si>
    <t>Mayo fees</t>
  </si>
  <si>
    <t>Creative publicity (no color posters)</t>
  </si>
  <si>
    <t>Rocky Horror</t>
  </si>
  <si>
    <t>Apple cider &amp; cups</t>
  </si>
  <si>
    <t>Humans of New York</t>
  </si>
  <si>
    <t>Brandon Stanton</t>
  </si>
  <si>
    <t xml:space="preserve">Kendall Hall </t>
  </si>
  <si>
    <t>Dave Coulier</t>
  </si>
  <si>
    <t>Police officers</t>
  </si>
  <si>
    <t>Trevor Moore</t>
  </si>
  <si>
    <t>The Mixed Signals</t>
  </si>
  <si>
    <t>Mayo</t>
  </si>
  <si>
    <t>Men's bible study publiciation</t>
  </si>
  <si>
    <t>Women's bible study publiciation</t>
  </si>
  <si>
    <t>UL</t>
  </si>
  <si>
    <t>ISA</t>
  </si>
  <si>
    <t>Garba</t>
  </si>
  <si>
    <t>Utensils/napkins/cups/plates</t>
  </si>
  <si>
    <t>Misc.</t>
  </si>
  <si>
    <t>Biphobia Workshop with Robyn Ochs</t>
  </si>
  <si>
    <t>Tea House</t>
  </si>
  <si>
    <t>Egg tarts</t>
  </si>
  <si>
    <t>Sesame balls</t>
  </si>
  <si>
    <t>Swiss rolls</t>
  </si>
  <si>
    <t>Triangle cakes</t>
  </si>
  <si>
    <t>Assorted desserts</t>
  </si>
  <si>
    <t>Egg rolls</t>
  </si>
  <si>
    <t>Dumplings</t>
  </si>
  <si>
    <t>Tablecloths</t>
  </si>
  <si>
    <t>Steamers</t>
  </si>
  <si>
    <t>Marbles</t>
  </si>
  <si>
    <t>Vases</t>
  </si>
  <si>
    <t>Utensils</t>
  </si>
  <si>
    <t>Plates</t>
  </si>
  <si>
    <t>Water heater rental</t>
  </si>
  <si>
    <t>Tea</t>
  </si>
  <si>
    <t>Dragonfly dresses</t>
  </si>
  <si>
    <t>Fans</t>
  </si>
  <si>
    <t>Handkerchiefs</t>
  </si>
  <si>
    <t>Staging</t>
  </si>
  <si>
    <t>Cups</t>
  </si>
  <si>
    <t>Diwali Dinner</t>
  </si>
  <si>
    <t>Cleaning fees</t>
  </si>
  <si>
    <t>Jummah Prayers</t>
  </si>
  <si>
    <t xml:space="preserve">Speaker </t>
  </si>
  <si>
    <t>Light refreshments</t>
  </si>
  <si>
    <t>Monthly Speakers Series</t>
  </si>
  <si>
    <t>Oxfam American Hunger Banquet</t>
  </si>
  <si>
    <t>Rice</t>
  </si>
  <si>
    <t>Rice and beans</t>
  </si>
  <si>
    <t>Pasta/salad/bread</t>
  </si>
  <si>
    <t>Tyvek wristbands</t>
  </si>
  <si>
    <t>Round linen tablecloth</t>
  </si>
  <si>
    <t>Room decorations</t>
  </si>
  <si>
    <t>Delta Epsilon Psi</t>
  </si>
  <si>
    <t>Sugar Free Comedy</t>
  </si>
  <si>
    <t>Comedian</t>
  </si>
  <si>
    <t>Roung trip flight</t>
  </si>
  <si>
    <t>Baked goods</t>
  </si>
  <si>
    <t>Panhellenic</t>
  </si>
  <si>
    <t>Let's Talk About It</t>
  </si>
  <si>
    <t>Program</t>
  </si>
  <si>
    <t>Fiji water</t>
  </si>
  <si>
    <t>Class of 2018</t>
  </si>
  <si>
    <t>Cruise</t>
  </si>
  <si>
    <t>Moonlight cruise</t>
  </si>
  <si>
    <t>Bus parking</t>
  </si>
  <si>
    <t>TCNJam</t>
  </si>
  <si>
    <t>K Sound</t>
  </si>
  <si>
    <t>Security</t>
  </si>
  <si>
    <t>Games</t>
  </si>
  <si>
    <t>Service fees</t>
  </si>
  <si>
    <t>Sigma Lambda Beta</t>
  </si>
  <si>
    <t>Homophobia in Multicultural Student Orgs</t>
  </si>
  <si>
    <t>Speaker honorarium</t>
  </si>
  <si>
    <t>Sodexo catering</t>
  </si>
  <si>
    <t>Barangay</t>
  </si>
  <si>
    <t>Eileen Young</t>
  </si>
  <si>
    <t>Halo Farm</t>
  </si>
  <si>
    <t>Plates/utensils/cups</t>
  </si>
  <si>
    <t>Helium tank</t>
  </si>
  <si>
    <t>Bracelets</t>
  </si>
  <si>
    <t>National Museum of African Art</t>
  </si>
  <si>
    <t>Jewish Ed Week</t>
  </si>
  <si>
    <t>Krav Maga workshop</t>
  </si>
  <si>
    <t>Shabbat dinner</t>
  </si>
  <si>
    <t>Xanadu</t>
  </si>
  <si>
    <t>Roller skates</t>
  </si>
  <si>
    <t>Kendall Hall</t>
  </si>
  <si>
    <t>Stage/house mgmt</t>
  </si>
  <si>
    <t>Director</t>
  </si>
  <si>
    <t>Music director</t>
  </si>
  <si>
    <t>Travel reimbursement</t>
  </si>
  <si>
    <t>Rental instruements</t>
  </si>
  <si>
    <t>National Indian Classical Dance Comp</t>
  </si>
  <si>
    <t>UC Berkeley Laasya</t>
  </si>
  <si>
    <t>UMD Mayuri</t>
  </si>
  <si>
    <t>Upitt Dhirana</t>
  </si>
  <si>
    <t>2nd competition</t>
  </si>
  <si>
    <t>Hanukkah Celebration</t>
  </si>
  <si>
    <t>Foods and dinner</t>
  </si>
  <si>
    <t>Perfect Party rental</t>
  </si>
  <si>
    <t>Dreidels &amp; gelt</t>
  </si>
  <si>
    <t>Photo booth</t>
  </si>
  <si>
    <t>Menorah craft kits</t>
  </si>
  <si>
    <t>Menorah lighting set</t>
  </si>
  <si>
    <t>Manhunt</t>
  </si>
  <si>
    <t>Color Swords</t>
  </si>
  <si>
    <t>Nerf blade toy (10)</t>
  </si>
  <si>
    <t>Manhunt Club</t>
  </si>
  <si>
    <t>Shelter in Place</t>
  </si>
  <si>
    <t>Library staff</t>
  </si>
  <si>
    <t>TCNJ Swing Dance Club</t>
  </si>
  <si>
    <t>Swing Outs and Snowflakes Swing Dance</t>
  </si>
  <si>
    <t>TCNJ Jazz Ensemble Quintet</t>
  </si>
  <si>
    <t>Junior Class Council</t>
  </si>
  <si>
    <t>Philadelphia Bus Trip</t>
  </si>
  <si>
    <t>Buses</t>
  </si>
  <si>
    <t>CUB and SG</t>
  </si>
  <si>
    <t>TCNJ Holiday</t>
  </si>
  <si>
    <t>Stuff a plush</t>
  </si>
  <si>
    <t>Iceless ice rink</t>
  </si>
  <si>
    <t>Giant inflatable snow globe</t>
  </si>
  <si>
    <t>Photo snow globes</t>
  </si>
  <si>
    <t>Hot chocolate bar</t>
  </si>
  <si>
    <t>Money for crafts for student orgs</t>
  </si>
  <si>
    <t>Campus police</t>
  </si>
  <si>
    <t>Live horse and carriage rides</t>
  </si>
  <si>
    <t>Cultural holiday desserts</t>
  </si>
  <si>
    <t>Paper products</t>
  </si>
  <si>
    <t>Vendor meals</t>
  </si>
  <si>
    <t>Balloons and helium</t>
  </si>
  <si>
    <t>Washed back, event not happening</t>
  </si>
  <si>
    <t>Manilla envelopes</t>
  </si>
  <si>
    <t xml:space="preserve">SG </t>
  </si>
  <si>
    <t>Freshman Semi-Formal</t>
  </si>
  <si>
    <t>Cedar Gardens</t>
  </si>
  <si>
    <t>Busing</t>
  </si>
  <si>
    <t>Oriental Trading</t>
  </si>
  <si>
    <t>Basic glass votive holder</t>
  </si>
  <si>
    <t>Senior Cooking Class</t>
  </si>
  <si>
    <t>Cooking class</t>
  </si>
  <si>
    <t>Italian Club</t>
  </si>
  <si>
    <t>La Bella Notte</t>
  </si>
  <si>
    <t>Sodas</t>
  </si>
  <si>
    <t>Iced tea</t>
  </si>
  <si>
    <t>Raffle tickets</t>
  </si>
  <si>
    <t>Fact sheets (centerpieces)</t>
  </si>
  <si>
    <t>Backdrop</t>
  </si>
  <si>
    <t>Coffeehouse</t>
  </si>
  <si>
    <t>SNJEA</t>
  </si>
  <si>
    <t>AC Convention</t>
  </si>
  <si>
    <t>24 Hour Lib Hours</t>
  </si>
  <si>
    <t>Tie Dye Waffles and Ice Cream</t>
  </si>
  <si>
    <t>Treblemakers</t>
  </si>
  <si>
    <t>Winter Concert</t>
  </si>
  <si>
    <t>I Tunes</t>
  </si>
  <si>
    <t>Leadership Lock Up</t>
  </si>
  <si>
    <t>Mamma Floras</t>
  </si>
  <si>
    <t>Workshop supplies</t>
  </si>
  <si>
    <t>Welcome Back Comedy Show</t>
  </si>
  <si>
    <t>Talent</t>
  </si>
  <si>
    <t>Welcome Back Concert</t>
  </si>
  <si>
    <t>Production</t>
  </si>
  <si>
    <t>Super Bowl Celebration</t>
  </si>
  <si>
    <t>Wings</t>
  </si>
  <si>
    <t>Snacks</t>
  </si>
  <si>
    <t>Beverages</t>
  </si>
  <si>
    <t>Delivery</t>
  </si>
  <si>
    <t>BSC Funds</t>
  </si>
  <si>
    <t>Spring Concert</t>
  </si>
  <si>
    <t>Income</t>
  </si>
  <si>
    <t>Johnny on the spot</t>
  </si>
  <si>
    <t>EMS</t>
  </si>
  <si>
    <t>Ticket printing</t>
  </si>
  <si>
    <t>CUB hospitality</t>
  </si>
  <si>
    <t>Water giveaways</t>
  </si>
  <si>
    <t>Pipe and drape</t>
  </si>
  <si>
    <t>Tennis relocation</t>
  </si>
  <si>
    <t>Laminates</t>
  </si>
  <si>
    <t>Spring Comedy Show</t>
  </si>
  <si>
    <t>Excludes business service charge lines</t>
  </si>
  <si>
    <t>Washed back all Pre-October 15 on 11/30/2015</t>
  </si>
  <si>
    <t xml:space="preserve"> </t>
  </si>
  <si>
    <t>Women in Business</t>
  </si>
  <si>
    <t>Dr. Matthew Kimmel</t>
  </si>
  <si>
    <t>Speaker expenses</t>
  </si>
  <si>
    <t>Leadership Lockup</t>
  </si>
  <si>
    <t>Winter Retreat</t>
  </si>
  <si>
    <t>Hotel/conference expenses</t>
  </si>
  <si>
    <t>Washed back 12/7</t>
  </si>
  <si>
    <t>Keyboard rental</t>
  </si>
  <si>
    <t>Stickers</t>
  </si>
  <si>
    <t>HSA catering</t>
  </si>
  <si>
    <t>ASFA catering</t>
  </si>
  <si>
    <t>Kickoff</t>
  </si>
  <si>
    <t>Egypt Performance and Lecture</t>
  </si>
  <si>
    <t>Speaking fee</t>
  </si>
  <si>
    <t>Liberated Threads</t>
  </si>
  <si>
    <t>Multicutural</t>
  </si>
  <si>
    <t>Dr. Strayhorn Lecture</t>
  </si>
  <si>
    <t>Online Vote</t>
  </si>
  <si>
    <t>CUB Alt</t>
  </si>
  <si>
    <t>Clara C</t>
  </si>
  <si>
    <t>Performer accommodations</t>
  </si>
  <si>
    <t>Student staff</t>
  </si>
  <si>
    <t>Professional staff</t>
  </si>
  <si>
    <t>Student house manager</t>
  </si>
  <si>
    <t>TCNJ Epcot</t>
  </si>
  <si>
    <t>Streamers</t>
  </si>
  <si>
    <t>Beads</t>
  </si>
  <si>
    <t>Mechanical bull</t>
  </si>
  <si>
    <t>Henna artists (2)</t>
  </si>
  <si>
    <t>Sumo wrestling suits</t>
  </si>
  <si>
    <t>Around the World green screen</t>
  </si>
  <si>
    <t>Table covers</t>
  </si>
  <si>
    <t>Dhirana travel expenses</t>
  </si>
  <si>
    <t>Two cars' milage</t>
  </si>
  <si>
    <t>Black Monologues</t>
  </si>
  <si>
    <t>Library fee</t>
  </si>
  <si>
    <t>Chinese New Year</t>
  </si>
  <si>
    <t>Washed back 2/8</t>
  </si>
  <si>
    <t>Campus Moviefest</t>
  </si>
  <si>
    <t>Event fee</t>
  </si>
  <si>
    <t>A Taste of South America</t>
  </si>
  <si>
    <t>Catering</t>
  </si>
  <si>
    <t>Una Serata Italiana</t>
  </si>
  <si>
    <t>House manager</t>
  </si>
  <si>
    <t>Dr. Strayhorn (Additional Funding)</t>
  </si>
  <si>
    <t>Class of 2017</t>
  </si>
  <si>
    <t>TCNJ's Got Talent</t>
  </si>
  <si>
    <t>Gifts for judges</t>
  </si>
  <si>
    <t>Kendall workers</t>
  </si>
  <si>
    <t>Music building materials fee</t>
  </si>
  <si>
    <t>Nowruz</t>
  </si>
  <si>
    <t>Band</t>
  </si>
  <si>
    <t>Dinner catering</t>
  </si>
  <si>
    <t>Cairo cakes</t>
  </si>
  <si>
    <t>Nowruz flowers</t>
  </si>
  <si>
    <t>Washed back 2/11</t>
  </si>
  <si>
    <t>Stage management</t>
  </si>
  <si>
    <t>Spring Production</t>
  </si>
  <si>
    <t>Tech design</t>
  </si>
  <si>
    <t>Set materials</t>
  </si>
  <si>
    <t>Gaffers</t>
  </si>
  <si>
    <t>Paint/other supplies</t>
  </si>
  <si>
    <t>Interactive Dinner Theatre</t>
  </si>
  <si>
    <t xml:space="preserve">Scripts </t>
  </si>
  <si>
    <t>Washed back 2/17</t>
  </si>
  <si>
    <t>Dance Competition</t>
  </si>
  <si>
    <t>Transportation</t>
  </si>
  <si>
    <t>CUB &amp; SG</t>
  </si>
  <si>
    <t>Funival</t>
  </si>
  <si>
    <t>Rides and related exp.</t>
  </si>
  <si>
    <t>Inflatables and photo booth</t>
  </si>
  <si>
    <t>Additional insurance</t>
  </si>
  <si>
    <t>Balloon and face paint rover</t>
  </si>
  <si>
    <t>Evan Young comedy juggler</t>
  </si>
  <si>
    <t>Mother's Towing</t>
  </si>
  <si>
    <t>Towing signage</t>
  </si>
  <si>
    <t>Ewing EMS</t>
  </si>
  <si>
    <t>Supplies for staffers</t>
  </si>
  <si>
    <t>Staffing credentials</t>
  </si>
  <si>
    <t>Operational services</t>
  </si>
  <si>
    <t>Fire permits</t>
  </si>
  <si>
    <t>Catering for vendors</t>
  </si>
  <si>
    <t>Grounds supervisor</t>
  </si>
  <si>
    <t>Supplies for WTSR</t>
  </si>
  <si>
    <t>Ambiance</t>
  </si>
  <si>
    <t>Dance troupe</t>
  </si>
  <si>
    <t>HSA</t>
  </si>
  <si>
    <t>Legacy Ball</t>
  </si>
  <si>
    <t>Purim Decade Party</t>
  </si>
  <si>
    <t>Arcade games</t>
  </si>
  <si>
    <t>Purim feast</t>
  </si>
  <si>
    <t>Tie dye</t>
  </si>
  <si>
    <t>Photo booth props and decorations</t>
  </si>
  <si>
    <t>Misholach manot (gifts of food)</t>
  </si>
  <si>
    <t>Strip photo booth</t>
  </si>
  <si>
    <t>Hamentashen</t>
  </si>
  <si>
    <t>Klein's ice cream</t>
  </si>
  <si>
    <t>Movie night</t>
  </si>
  <si>
    <t>DVD rental</t>
  </si>
  <si>
    <t>Monthly Shabbat</t>
  </si>
  <si>
    <t>Traditioanl Shabbat dinner</t>
  </si>
  <si>
    <t>HaLOL Comedy Night</t>
  </si>
  <si>
    <t>Hasan Minaj</t>
  </si>
  <si>
    <t>Artist hospitality</t>
  </si>
  <si>
    <t>Mayo concert hall</t>
  </si>
  <si>
    <t>Dr. Washington Lecture</t>
  </si>
  <si>
    <t>Flight expense</t>
  </si>
  <si>
    <t>Masquerade Ball</t>
  </si>
  <si>
    <t>Haitian Student Association</t>
  </si>
  <si>
    <t>Alternative Break Club</t>
  </si>
  <si>
    <t>Mardi Gras Masquerade</t>
  </si>
  <si>
    <t>Tableware</t>
  </si>
  <si>
    <t>Decoration</t>
  </si>
  <si>
    <t>Events</t>
  </si>
  <si>
    <t>Deaf Awareness Day</t>
  </si>
  <si>
    <t xml:space="preserve">Sam Sandler </t>
  </si>
  <si>
    <t>Stephanie Nogueras</t>
  </si>
  <si>
    <t>Bollywood Night</t>
  </si>
  <si>
    <t>Spring Lecture</t>
  </si>
  <si>
    <t>Mystique</t>
  </si>
  <si>
    <t>Fashion show</t>
  </si>
  <si>
    <t>"Oh, You Needed Me to Pay Attention?"</t>
  </si>
  <si>
    <t>All-inclusive speaker fee</t>
  </si>
  <si>
    <t>UCB</t>
  </si>
  <si>
    <t>Food for performers</t>
  </si>
  <si>
    <t>ROCK</t>
  </si>
  <si>
    <t>Passover Seder</t>
  </si>
  <si>
    <t>Traditional passover seder</t>
  </si>
  <si>
    <t>Shmura Matzah</t>
  </si>
  <si>
    <t>Votives</t>
  </si>
  <si>
    <t>Bagels</t>
  </si>
  <si>
    <t>Humans v. Zombies</t>
  </si>
  <si>
    <t>Flower handout</t>
  </si>
  <si>
    <t>Flowers and ribbon</t>
  </si>
  <si>
    <t>Art Gala</t>
  </si>
  <si>
    <t>Décor</t>
  </si>
  <si>
    <t>Peace by Piece</t>
  </si>
  <si>
    <t>Snacks and bevs</t>
  </si>
  <si>
    <t>Spring Spectacular</t>
  </si>
  <si>
    <t>Poster board and chalk</t>
  </si>
  <si>
    <t>Pre performance meal</t>
  </si>
  <si>
    <t>Gospel United Ministries</t>
  </si>
  <si>
    <t>Gospel Extravaganza</t>
  </si>
  <si>
    <t>Ahmad Sanon</t>
  </si>
  <si>
    <t>Will Morris</t>
  </si>
  <si>
    <t>Voice of Hope</t>
  </si>
  <si>
    <t>Tim Be Told</t>
  </si>
  <si>
    <t>Shirts</t>
  </si>
  <si>
    <t>Smoothies</t>
  </si>
  <si>
    <t>Stickers/baloons/helium</t>
  </si>
  <si>
    <t>Dish of Diversity</t>
  </si>
  <si>
    <t>Drinks/plates/utensils/cups</t>
  </si>
  <si>
    <t>Event cancelled</t>
  </si>
  <si>
    <t>Washed back</t>
  </si>
  <si>
    <t>Latenighter</t>
  </si>
  <si>
    <t>Entertainment package</t>
  </si>
  <si>
    <t>Creative pub</t>
  </si>
  <si>
    <t>Gaff tape</t>
  </si>
  <si>
    <t>TCNJ EMS standby</t>
  </si>
  <si>
    <t>Taiko</t>
  </si>
  <si>
    <t>Happi coats</t>
  </si>
  <si>
    <t>Estimated shipping for happi coats</t>
  </si>
  <si>
    <t>Rise of an Empire Fashion Show</t>
  </si>
  <si>
    <t>Gideon's needle</t>
  </si>
  <si>
    <t>Eaden Myles</t>
  </si>
  <si>
    <t>New Era</t>
  </si>
  <si>
    <t>Randi Gloss</t>
  </si>
  <si>
    <t>Samerrahhart</t>
  </si>
  <si>
    <t>Libernation</t>
  </si>
  <si>
    <t>Pipe and Ddrape</t>
  </si>
  <si>
    <t>Decker social space</t>
  </si>
  <si>
    <t>Tyler Ford</t>
  </si>
  <si>
    <t>Library auditorium fees</t>
  </si>
  <si>
    <t>Class of 2019</t>
  </si>
  <si>
    <t>Springback</t>
  </si>
  <si>
    <t>Setup and delivery</t>
  </si>
  <si>
    <t>mechanical bull</t>
  </si>
  <si>
    <t>Boot camp obstacle course</t>
  </si>
  <si>
    <t>Gladiator joust</t>
  </si>
  <si>
    <t>Speed pitch</t>
  </si>
  <si>
    <t>Basketball hoops</t>
  </si>
  <si>
    <t>Washed back 3/24</t>
  </si>
  <si>
    <t>Washed back 10k</t>
  </si>
  <si>
    <t>Linette Reeman</t>
  </si>
  <si>
    <t>Speaker fees</t>
  </si>
  <si>
    <t>Day of Silence</t>
  </si>
  <si>
    <t>Lamination</t>
  </si>
  <si>
    <t>COPA Night</t>
  </si>
  <si>
    <t>Latin band</t>
  </si>
  <si>
    <t>Food and beverages</t>
  </si>
  <si>
    <t>WILL</t>
  </si>
  <si>
    <t>Bus Trip</t>
  </si>
  <si>
    <t xml:space="preserve">Society for Creative Endeavors </t>
  </si>
  <si>
    <t>Sakura Matsuri Trip</t>
  </si>
  <si>
    <t>Paint Your Stress Away</t>
  </si>
  <si>
    <t xml:space="preserve">Instructor </t>
  </si>
  <si>
    <t>Association of Students for Africa</t>
  </si>
  <si>
    <t>Akwaaba</t>
  </si>
  <si>
    <t>Lambda Theta Alpha</t>
  </si>
  <si>
    <t>Self-Love 101</t>
  </si>
  <si>
    <t>Competition 2 (Laasya)</t>
  </si>
  <si>
    <t>Environmental Club</t>
  </si>
  <si>
    <t>Earth Week</t>
  </si>
  <si>
    <t>Cowspiracy screening rights</t>
  </si>
  <si>
    <t>3 white boards</t>
  </si>
  <si>
    <t>Set of dry erase markets</t>
  </si>
  <si>
    <t>Work gloves</t>
  </si>
  <si>
    <t>Hellenic Society</t>
  </si>
  <si>
    <t>Greek Fest</t>
  </si>
  <si>
    <t>Dance group</t>
  </si>
  <si>
    <t>She's The First</t>
  </si>
  <si>
    <t>Finals Fest</t>
  </si>
  <si>
    <t>HE Named Me Malala</t>
  </si>
  <si>
    <t>Munchkins</t>
  </si>
  <si>
    <t>Agents of Change</t>
  </si>
  <si>
    <t>Joshua Fredenburg</t>
  </si>
  <si>
    <t>Queer Music Showcase</t>
  </si>
  <si>
    <t>Danielle Grubb</t>
  </si>
  <si>
    <t>Kid in the Attic</t>
  </si>
  <si>
    <t>Roswell Debacle</t>
  </si>
  <si>
    <t>Baseball Tailgate</t>
  </si>
  <si>
    <t>Water ice</t>
  </si>
  <si>
    <t>Sodexo grilling chef</t>
  </si>
  <si>
    <t>Grill fee rentals</t>
  </si>
  <si>
    <t>Cream cheese/butter</t>
  </si>
  <si>
    <t>Ice cream</t>
  </si>
  <si>
    <t>TCNJ Cares Week</t>
  </si>
  <si>
    <t>In Their Shoes event</t>
  </si>
  <si>
    <t>Emcee</t>
  </si>
  <si>
    <t>Kendall crew member</t>
  </si>
  <si>
    <t>Knee pads and elbow pads</t>
  </si>
  <si>
    <t>Airband</t>
  </si>
  <si>
    <t>Electric shop</t>
  </si>
  <si>
    <t>Sound stage lighting</t>
  </si>
  <si>
    <t>Rec center</t>
  </si>
  <si>
    <t>Drink/utensils</t>
  </si>
  <si>
    <t>Zu Zu Acrobatics Inc</t>
  </si>
  <si>
    <t>Israeli Independence Day</t>
  </si>
  <si>
    <t>Crafts</t>
  </si>
  <si>
    <t>Music</t>
  </si>
  <si>
    <t>Freshman Farewell Fest</t>
  </si>
  <si>
    <t>Inflatable Movie Screen</t>
  </si>
  <si>
    <t>Skee ball</t>
  </si>
  <si>
    <t>Cops</t>
  </si>
  <si>
    <t>Air hockey</t>
  </si>
  <si>
    <t>Pinball</t>
  </si>
  <si>
    <t>Basektball toss</t>
  </si>
  <si>
    <t>Football toss</t>
  </si>
  <si>
    <t>Set up fees</t>
  </si>
  <si>
    <t>Operationsl services</t>
  </si>
  <si>
    <t>400 tattoos</t>
  </si>
  <si>
    <t>Crayons</t>
  </si>
  <si>
    <t>iTunes</t>
  </si>
  <si>
    <t>Ushers</t>
  </si>
  <si>
    <t>Funival Comedy Show</t>
  </si>
  <si>
    <t>Jake and Amir</t>
  </si>
  <si>
    <t>Sound and production</t>
  </si>
  <si>
    <t>Washbacks</t>
  </si>
  <si>
    <t>Inspi-grams</t>
  </si>
  <si>
    <t>Pimp Your Mason Jar</t>
  </si>
  <si>
    <t>Summer retreat</t>
  </si>
  <si>
    <t>Hampton Inn</t>
  </si>
  <si>
    <t>Blackout Step Team</t>
  </si>
  <si>
    <t>Retreat</t>
  </si>
  <si>
    <t>Activities</t>
  </si>
  <si>
    <t>Room</t>
  </si>
  <si>
    <t>Yom Kippur Pre Fast Dinner</t>
  </si>
  <si>
    <t>Meal</t>
  </si>
  <si>
    <t>ABC</t>
  </si>
  <si>
    <t>Ice Cream of Breakfast</t>
  </si>
  <si>
    <t>Toppings</t>
  </si>
  <si>
    <t>Tri fold</t>
  </si>
  <si>
    <t>Scoops</t>
  </si>
  <si>
    <t>Cooler</t>
  </si>
  <si>
    <t>Fall Show</t>
  </si>
  <si>
    <t xml:space="preserve">Royalities </t>
  </si>
  <si>
    <t>Lodging and meals</t>
  </si>
  <si>
    <t>Two buses</t>
  </si>
  <si>
    <t>Liz Abzug</t>
  </si>
  <si>
    <t>Fee</t>
  </si>
  <si>
    <t>San Gennaro Bus Trip</t>
  </si>
  <si>
    <t>Farbreng It On</t>
  </si>
  <si>
    <t>Chezzi Denenbeim</t>
  </si>
  <si>
    <t>Sound Techs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</si>
</sst>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4" fontId="3" fillId="0" borderId="0" xfId="1" applyFont="1"/>
    <xf numFmtId="0" fontId="2" fillId="0" borderId="0" xfId="0" applyFont="1"/>
    <xf numFmtId="0" fontId="3" fillId="0" borderId="0" xfId="0" applyFont="1" applyFill="1"/>
    <xf numFmtId="44" fontId="3" fillId="0" borderId="0" xfId="1" applyFont="1" applyFill="1" applyAlignment="1">
      <alignment horizontal="center"/>
    </xf>
    <xf numFmtId="44" fontId="3" fillId="0" borderId="1" xfId="1" applyFont="1" applyFill="1" applyBorder="1" applyAlignment="1">
      <alignment horizontal="center"/>
    </xf>
    <xf numFmtId="0" fontId="4" fillId="0" borderId="0" xfId="0" applyFont="1" applyFill="1"/>
    <xf numFmtId="44" fontId="4" fillId="0" borderId="0" xfId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4" fontId="0" fillId="0" borderId="0" xfId="1" applyFont="1"/>
    <xf numFmtId="0" fontId="0" fillId="0" borderId="0" xfId="0"/>
    <xf numFmtId="0" fontId="0" fillId="0" borderId="0" xfId="0" applyAlignment="1">
      <alignment horizontal="center"/>
    </xf>
    <xf numFmtId="44" fontId="3" fillId="0" borderId="0" xfId="0" applyNumberFormat="1" applyFont="1"/>
    <xf numFmtId="44" fontId="3" fillId="0" borderId="0" xfId="1" applyFont="1" applyFill="1"/>
    <xf numFmtId="44" fontId="3" fillId="0" borderId="1" xfId="1" applyFont="1" applyFill="1" applyBorder="1"/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44" fontId="3" fillId="0" borderId="1" xfId="0" applyNumberFormat="1" applyFont="1" applyBorder="1"/>
    <xf numFmtId="0" fontId="3" fillId="3" borderId="0" xfId="0" applyFont="1" applyFill="1"/>
    <xf numFmtId="0" fontId="6" fillId="0" borderId="0" xfId="0" applyFont="1"/>
    <xf numFmtId="44" fontId="6" fillId="0" borderId="0" xfId="1" applyFont="1"/>
    <xf numFmtId="44" fontId="6" fillId="0" borderId="0" xfId="0" applyNumberFormat="1" applyFont="1"/>
    <xf numFmtId="44" fontId="0" fillId="0" borderId="0" xfId="0" applyNumberFormat="1"/>
    <xf numFmtId="44" fontId="3" fillId="4" borderId="0" xfId="0" applyNumberFormat="1" applyFont="1" applyFill="1"/>
    <xf numFmtId="44" fontId="3" fillId="0" borderId="0" xfId="1" applyFont="1" applyFill="1" applyBorder="1" applyAlignment="1">
      <alignment horizontal="center"/>
    </xf>
    <xf numFmtId="44" fontId="3" fillId="0" borderId="0" xfId="1" applyFont="1" applyFill="1" applyBorder="1"/>
    <xf numFmtId="44" fontId="3" fillId="0" borderId="0" xfId="0" applyNumberFormat="1" applyFont="1" applyBorder="1"/>
    <xf numFmtId="44" fontId="2" fillId="0" borderId="0" xfId="1" applyFont="1"/>
    <xf numFmtId="44" fontId="3" fillId="0" borderId="0" xfId="0" applyNumberFormat="1" applyFont="1" applyFill="1"/>
    <xf numFmtId="0" fontId="0" fillId="0" borderId="0" xfId="0" applyFill="1"/>
    <xf numFmtId="44" fontId="0" fillId="0" borderId="0" xfId="1" applyFont="1" applyFill="1"/>
    <xf numFmtId="0" fontId="0" fillId="0" borderId="1" xfId="0" applyBorder="1"/>
    <xf numFmtId="44" fontId="0" fillId="0" borderId="1" xfId="1" applyFont="1" applyBorder="1"/>
    <xf numFmtId="0" fontId="0" fillId="0" borderId="0" xfId="0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3" fillId="4" borderId="0" xfId="0" applyFont="1" applyFill="1"/>
    <xf numFmtId="44" fontId="3" fillId="5" borderId="0" xfId="0" applyNumberFormat="1" applyFont="1" applyFill="1"/>
    <xf numFmtId="0" fontId="3" fillId="5" borderId="0" xfId="0" applyFont="1" applyFill="1"/>
    <xf numFmtId="0" fontId="3" fillId="6" borderId="0" xfId="0" applyFont="1" applyFill="1"/>
    <xf numFmtId="13" fontId="3" fillId="0" borderId="0" xfId="0" applyNumberFormat="1" applyFont="1" applyFill="1"/>
    <xf numFmtId="44" fontId="3" fillId="4" borderId="0" xfId="1" applyFont="1" applyFill="1" applyAlignment="1">
      <alignment horizontal="center"/>
    </xf>
    <xf numFmtId="0" fontId="3" fillId="7" borderId="0" xfId="0" applyFont="1" applyFill="1"/>
    <xf numFmtId="44" fontId="3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9"/>
  <sheetViews>
    <sheetView tabSelected="1" zoomScaleNormal="100" workbookViewId="0">
      <pane ySplit="1" topLeftCell="A176" activePane="bottomLeft" state="frozen"/>
      <selection pane="bottomLeft" activeCell="G64" sqref="G64"/>
    </sheetView>
  </sheetViews>
  <sheetFormatPr defaultRowHeight="14.25" x14ac:dyDescent="0.25"/>
  <cols>
    <col min="1" max="1" width="20.85546875" style="23" customWidth="1"/>
    <col min="2" max="2" width="31" style="4" bestFit="1" customWidth="1"/>
    <col min="3" max="3" width="39.140625" style="4" customWidth="1"/>
    <col min="4" max="4" width="17.85546875" style="4" customWidth="1"/>
    <col min="5" max="5" width="32.5703125" style="4" customWidth="1"/>
    <col min="6" max="6" width="16.5703125" style="5" customWidth="1"/>
    <col min="7" max="7" width="14.85546875" style="20" customWidth="1"/>
    <col min="8" max="8" width="16.140625" style="4" customWidth="1"/>
    <col min="9" max="9" width="19.140625" style="4" customWidth="1"/>
    <col min="10" max="10" width="25.140625" style="4" customWidth="1"/>
    <col min="11" max="16384" width="9.140625" style="4"/>
  </cols>
  <sheetData>
    <row r="1" spans="1:10" s="15" customFormat="1" ht="31.5" customHeight="1" x14ac:dyDescent="0.25">
      <c r="A1" s="12" t="s">
        <v>441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H1" s="13" t="s">
        <v>6</v>
      </c>
    </row>
    <row r="2" spans="1:10" x14ac:dyDescent="0.25">
      <c r="A2" s="22">
        <v>42116</v>
      </c>
      <c r="B2" s="4" t="s">
        <v>332</v>
      </c>
      <c r="C2" s="4" t="s">
        <v>442</v>
      </c>
      <c r="D2" s="4" t="s">
        <v>444</v>
      </c>
      <c r="E2" s="4" t="s">
        <v>445</v>
      </c>
      <c r="F2" s="5">
        <f>1300-122.05+99</f>
        <v>1276.95</v>
      </c>
      <c r="G2" s="20">
        <f>1177.95+99</f>
        <v>1276.95</v>
      </c>
      <c r="H2" s="19">
        <f>IFERROR(F2-G2, " ")</f>
        <v>0</v>
      </c>
    </row>
    <row r="3" spans="1:10" ht="15" thickBot="1" x14ac:dyDescent="0.3">
      <c r="E3" s="4" t="s">
        <v>191</v>
      </c>
      <c r="F3" s="6">
        <f>400+122.05-99</f>
        <v>423.04999999999995</v>
      </c>
      <c r="G3" s="21">
        <f>66.34+102.66</f>
        <v>169</v>
      </c>
      <c r="H3" s="21">
        <f t="shared" ref="H3:H67" si="0">IFERROR(F3-G3, " ")</f>
        <v>254.04999999999995</v>
      </c>
      <c r="J3" s="49"/>
    </row>
    <row r="4" spans="1:10" x14ac:dyDescent="0.25">
      <c r="F4" s="5">
        <f>SUM(F2:F3)</f>
        <v>1700</v>
      </c>
      <c r="G4" s="20">
        <f>SUM(G2:G3)</f>
        <v>1445.95</v>
      </c>
      <c r="H4" s="19">
        <f t="shared" si="0"/>
        <v>254.04999999999995</v>
      </c>
    </row>
    <row r="5" spans="1:10" x14ac:dyDescent="0.25">
      <c r="H5" s="19"/>
    </row>
    <row r="6" spans="1:10" x14ac:dyDescent="0.25">
      <c r="B6" s="4" t="s">
        <v>122</v>
      </c>
      <c r="C6" s="4" t="s">
        <v>446</v>
      </c>
      <c r="D6" s="4" t="s">
        <v>444</v>
      </c>
      <c r="E6" s="4" t="s">
        <v>447</v>
      </c>
      <c r="F6" s="5">
        <v>1800</v>
      </c>
      <c r="G6" s="20">
        <v>1800</v>
      </c>
      <c r="H6" s="19">
        <f t="shared" si="0"/>
        <v>0</v>
      </c>
    </row>
    <row r="7" spans="1:10" x14ac:dyDescent="0.25">
      <c r="E7" s="4" t="s">
        <v>544</v>
      </c>
      <c r="F7" s="5">
        <v>165.72</v>
      </c>
      <c r="G7" s="5">
        <v>165.72</v>
      </c>
      <c r="H7" s="19">
        <f t="shared" si="0"/>
        <v>0</v>
      </c>
    </row>
    <row r="8" spans="1:10" ht="15" thickBot="1" x14ac:dyDescent="0.3">
      <c r="E8" s="4" t="s">
        <v>191</v>
      </c>
      <c r="F8" s="6">
        <v>200</v>
      </c>
      <c r="G8" s="21">
        <v>200</v>
      </c>
      <c r="H8" s="21">
        <f t="shared" si="0"/>
        <v>0</v>
      </c>
    </row>
    <row r="9" spans="1:10" x14ac:dyDescent="0.25">
      <c r="F9" s="5">
        <f>SUM(F6:F8)</f>
        <v>2165.7200000000003</v>
      </c>
      <c r="G9" s="5">
        <f>SUM(G6:G8)</f>
        <v>2165.7200000000003</v>
      </c>
      <c r="H9" s="19">
        <f t="shared" si="0"/>
        <v>0</v>
      </c>
    </row>
    <row r="10" spans="1:10" x14ac:dyDescent="0.25">
      <c r="B10" s="4" t="s">
        <v>122</v>
      </c>
      <c r="C10" s="4" t="s">
        <v>448</v>
      </c>
      <c r="D10" s="4" t="s">
        <v>443</v>
      </c>
      <c r="E10" s="4" t="s">
        <v>449</v>
      </c>
      <c r="F10" s="5">
        <v>30000</v>
      </c>
      <c r="G10" s="20">
        <v>30000</v>
      </c>
      <c r="H10" s="19">
        <f t="shared" si="0"/>
        <v>0</v>
      </c>
    </row>
    <row r="11" spans="1:10" x14ac:dyDescent="0.25">
      <c r="E11" s="4" t="s">
        <v>450</v>
      </c>
      <c r="F11" s="5">
        <v>25000</v>
      </c>
      <c r="H11" s="19">
        <f t="shared" si="0"/>
        <v>25000</v>
      </c>
    </row>
    <row r="12" spans="1:10" x14ac:dyDescent="0.25">
      <c r="E12" s="4" t="s">
        <v>451</v>
      </c>
      <c r="F12" s="5">
        <v>20000</v>
      </c>
      <c r="H12" s="19">
        <f t="shared" si="0"/>
        <v>20000</v>
      </c>
    </row>
    <row r="13" spans="1:10" x14ac:dyDescent="0.25">
      <c r="E13" s="4" t="s">
        <v>452</v>
      </c>
      <c r="F13" s="5">
        <v>20000</v>
      </c>
      <c r="H13" s="19">
        <f t="shared" si="0"/>
        <v>20000</v>
      </c>
    </row>
    <row r="14" spans="1:10" x14ac:dyDescent="0.25">
      <c r="E14" s="7" t="s">
        <v>465</v>
      </c>
      <c r="F14" s="8">
        <v>30000</v>
      </c>
      <c r="H14" s="19">
        <f t="shared" si="0"/>
        <v>30000</v>
      </c>
    </row>
    <row r="15" spans="1:10" x14ac:dyDescent="0.25">
      <c r="E15" s="4" t="s">
        <v>453</v>
      </c>
      <c r="F15" s="5">
        <v>3000</v>
      </c>
      <c r="G15" s="20">
        <v>3000</v>
      </c>
      <c r="H15" s="19">
        <f t="shared" si="0"/>
        <v>0</v>
      </c>
    </row>
    <row r="16" spans="1:10" x14ac:dyDescent="0.25">
      <c r="E16" s="4" t="s">
        <v>145</v>
      </c>
      <c r="F16" s="5">
        <v>850</v>
      </c>
      <c r="H16" s="19">
        <f t="shared" si="0"/>
        <v>850</v>
      </c>
    </row>
    <row r="17" spans="2:10" x14ac:dyDescent="0.25">
      <c r="E17" s="4" t="s">
        <v>454</v>
      </c>
      <c r="F17" s="5">
        <v>250</v>
      </c>
      <c r="H17" s="19">
        <f t="shared" si="0"/>
        <v>250</v>
      </c>
    </row>
    <row r="18" spans="2:10" x14ac:dyDescent="0.25">
      <c r="E18" s="4" t="s">
        <v>146</v>
      </c>
      <c r="F18" s="5">
        <v>150</v>
      </c>
      <c r="G18" s="20">
        <f>21.07</f>
        <v>21.07</v>
      </c>
      <c r="H18" s="19">
        <f t="shared" si="0"/>
        <v>128.93</v>
      </c>
      <c r="I18" s="51" t="s">
        <v>1085</v>
      </c>
      <c r="J18" s="36">
        <f>H18</f>
        <v>128.93</v>
      </c>
    </row>
    <row r="19" spans="2:10" ht="15" thickBot="1" x14ac:dyDescent="0.3">
      <c r="E19" s="4" t="s">
        <v>356</v>
      </c>
      <c r="F19" s="6">
        <v>100</v>
      </c>
      <c r="G19" s="21"/>
      <c r="H19" s="21">
        <f t="shared" si="0"/>
        <v>100</v>
      </c>
    </row>
    <row r="20" spans="2:10" x14ac:dyDescent="0.25">
      <c r="F20" s="5">
        <f>SUM(F14:F19)</f>
        <v>34350</v>
      </c>
      <c r="H20" s="19">
        <f t="shared" si="0"/>
        <v>34350</v>
      </c>
    </row>
    <row r="21" spans="2:10" x14ac:dyDescent="0.25">
      <c r="H21" s="19"/>
    </row>
    <row r="22" spans="2:10" x14ac:dyDescent="0.25">
      <c r="B22" s="4" t="s">
        <v>122</v>
      </c>
      <c r="C22" s="4" t="s">
        <v>455</v>
      </c>
      <c r="D22" s="4" t="s">
        <v>456</v>
      </c>
      <c r="E22" s="4" t="s">
        <v>457</v>
      </c>
      <c r="F22" s="5">
        <v>55000</v>
      </c>
      <c r="H22" s="19">
        <f t="shared" si="0"/>
        <v>55000</v>
      </c>
    </row>
    <row r="23" spans="2:10" x14ac:dyDescent="0.25">
      <c r="E23" s="4" t="s">
        <v>458</v>
      </c>
      <c r="F23" s="5">
        <v>55000</v>
      </c>
      <c r="H23" s="19">
        <f t="shared" si="0"/>
        <v>55000</v>
      </c>
    </row>
    <row r="24" spans="2:10" x14ac:dyDescent="0.25">
      <c r="E24" s="4" t="s">
        <v>459</v>
      </c>
      <c r="F24" s="5">
        <v>50000</v>
      </c>
      <c r="H24" s="19">
        <f t="shared" si="0"/>
        <v>50000</v>
      </c>
    </row>
    <row r="25" spans="2:10" x14ac:dyDescent="0.25">
      <c r="E25" s="4" t="s">
        <v>460</v>
      </c>
      <c r="F25" s="5">
        <v>45000</v>
      </c>
      <c r="H25" s="19">
        <f t="shared" si="0"/>
        <v>45000</v>
      </c>
    </row>
    <row r="26" spans="2:10" x14ac:dyDescent="0.25">
      <c r="E26" s="4" t="s">
        <v>461</v>
      </c>
      <c r="F26" s="5">
        <v>25000</v>
      </c>
      <c r="H26" s="19">
        <f t="shared" si="0"/>
        <v>25000</v>
      </c>
    </row>
    <row r="27" spans="2:10" x14ac:dyDescent="0.25">
      <c r="E27" s="4" t="s">
        <v>462</v>
      </c>
      <c r="F27" s="5">
        <v>25000</v>
      </c>
      <c r="H27" s="19">
        <f t="shared" si="0"/>
        <v>25000</v>
      </c>
    </row>
    <row r="28" spans="2:10" x14ac:dyDescent="0.25">
      <c r="E28" s="4" t="s">
        <v>463</v>
      </c>
      <c r="F28" s="5">
        <v>25000</v>
      </c>
      <c r="H28" s="19">
        <f t="shared" si="0"/>
        <v>25000</v>
      </c>
    </row>
    <row r="29" spans="2:10" x14ac:dyDescent="0.25">
      <c r="E29" s="4" t="s">
        <v>464</v>
      </c>
      <c r="F29" s="5">
        <v>20000</v>
      </c>
      <c r="H29" s="19">
        <f t="shared" si="0"/>
        <v>20000</v>
      </c>
    </row>
    <row r="30" spans="2:10" x14ac:dyDescent="0.25">
      <c r="E30" s="4" t="s">
        <v>466</v>
      </c>
      <c r="F30" s="5">
        <v>20000</v>
      </c>
      <c r="H30" s="19">
        <f t="shared" si="0"/>
        <v>20000</v>
      </c>
    </row>
    <row r="31" spans="2:10" x14ac:dyDescent="0.25">
      <c r="E31" s="4" t="s">
        <v>467</v>
      </c>
      <c r="F31" s="5">
        <v>20000</v>
      </c>
      <c r="H31" s="19">
        <f t="shared" si="0"/>
        <v>20000</v>
      </c>
    </row>
    <row r="32" spans="2:10" x14ac:dyDescent="0.25">
      <c r="E32" s="4" t="s">
        <v>468</v>
      </c>
      <c r="F32" s="5">
        <v>15000</v>
      </c>
      <c r="H32" s="19">
        <f t="shared" si="0"/>
        <v>15000</v>
      </c>
    </row>
    <row r="33" spans="5:10" x14ac:dyDescent="0.25">
      <c r="E33" s="4" t="s">
        <v>469</v>
      </c>
      <c r="F33" s="5">
        <v>15000</v>
      </c>
      <c r="H33" s="19">
        <f t="shared" si="0"/>
        <v>15000</v>
      </c>
    </row>
    <row r="34" spans="5:10" x14ac:dyDescent="0.25">
      <c r="E34" s="4" t="s">
        <v>470</v>
      </c>
      <c r="F34" s="5">
        <v>10000</v>
      </c>
      <c r="H34" s="19">
        <f t="shared" si="0"/>
        <v>10000</v>
      </c>
    </row>
    <row r="35" spans="5:10" x14ac:dyDescent="0.25">
      <c r="E35" s="4" t="s">
        <v>471</v>
      </c>
      <c r="F35" s="5">
        <v>10000</v>
      </c>
      <c r="H35" s="19">
        <f t="shared" si="0"/>
        <v>10000</v>
      </c>
    </row>
    <row r="36" spans="5:10" x14ac:dyDescent="0.25">
      <c r="E36" s="4" t="s">
        <v>472</v>
      </c>
      <c r="F36" s="5">
        <v>10000</v>
      </c>
      <c r="H36" s="19">
        <f t="shared" si="0"/>
        <v>10000</v>
      </c>
    </row>
    <row r="37" spans="5:10" x14ac:dyDescent="0.25">
      <c r="E37" s="4" t="s">
        <v>473</v>
      </c>
      <c r="F37" s="5">
        <v>5000</v>
      </c>
      <c r="H37" s="19">
        <f t="shared" si="0"/>
        <v>5000</v>
      </c>
    </row>
    <row r="38" spans="5:10" x14ac:dyDescent="0.25">
      <c r="E38" s="4" t="s">
        <v>474</v>
      </c>
      <c r="F38" s="5">
        <v>5000</v>
      </c>
      <c r="H38" s="19">
        <f t="shared" si="0"/>
        <v>5000</v>
      </c>
    </row>
    <row r="39" spans="5:10" x14ac:dyDescent="0.25">
      <c r="E39" s="4" t="s">
        <v>475</v>
      </c>
      <c r="F39" s="5">
        <v>2000</v>
      </c>
      <c r="H39" s="19">
        <f t="shared" si="0"/>
        <v>2000</v>
      </c>
    </row>
    <row r="40" spans="5:10" x14ac:dyDescent="0.25">
      <c r="E40" s="7" t="s">
        <v>465</v>
      </c>
      <c r="F40" s="8">
        <f>F38+F22</f>
        <v>60000</v>
      </c>
      <c r="G40" s="20">
        <v>60000</v>
      </c>
      <c r="H40" s="19">
        <f t="shared" si="0"/>
        <v>0</v>
      </c>
    </row>
    <row r="41" spans="5:10" x14ac:dyDescent="0.25">
      <c r="E41" s="4" t="s">
        <v>480</v>
      </c>
      <c r="F41" s="5">
        <v>6000</v>
      </c>
      <c r="G41" s="20">
        <v>6000</v>
      </c>
      <c r="H41" s="19">
        <f t="shared" si="0"/>
        <v>0</v>
      </c>
    </row>
    <row r="42" spans="5:10" x14ac:dyDescent="0.25">
      <c r="E42" s="4" t="s">
        <v>476</v>
      </c>
      <c r="F42" s="5">
        <v>7000</v>
      </c>
      <c r="G42" s="20">
        <f>4500</f>
        <v>4500</v>
      </c>
      <c r="H42" s="19">
        <f t="shared" si="0"/>
        <v>2500</v>
      </c>
    </row>
    <row r="43" spans="5:10" x14ac:dyDescent="0.25">
      <c r="E43" s="4" t="s">
        <v>145</v>
      </c>
      <c r="F43" s="5">
        <v>2000</v>
      </c>
      <c r="H43" s="19">
        <f t="shared" si="0"/>
        <v>2000</v>
      </c>
    </row>
    <row r="44" spans="5:10" x14ac:dyDescent="0.25">
      <c r="E44" s="4" t="s">
        <v>146</v>
      </c>
      <c r="F44" s="5">
        <v>1000</v>
      </c>
      <c r="G44" s="20">
        <f>56.53+39.99+78+242.42+413</f>
        <v>829.94</v>
      </c>
      <c r="H44" s="19">
        <f t="shared" si="0"/>
        <v>170.05999999999995</v>
      </c>
      <c r="I44" s="51" t="s">
        <v>1085</v>
      </c>
      <c r="J44" s="36">
        <f>H44</f>
        <v>170.05999999999995</v>
      </c>
    </row>
    <row r="45" spans="5:10" x14ac:dyDescent="0.25">
      <c r="E45" s="4" t="s">
        <v>454</v>
      </c>
      <c r="F45" s="5">
        <v>878</v>
      </c>
      <c r="H45" s="19">
        <f t="shared" si="0"/>
        <v>878</v>
      </c>
    </row>
    <row r="46" spans="5:10" x14ac:dyDescent="0.25">
      <c r="E46" s="4" t="s">
        <v>477</v>
      </c>
      <c r="F46" s="5">
        <v>760</v>
      </c>
      <c r="G46" s="20">
        <v>950</v>
      </c>
      <c r="H46" s="19">
        <f t="shared" si="0"/>
        <v>-190</v>
      </c>
    </row>
    <row r="47" spans="5:10" x14ac:dyDescent="0.25">
      <c r="E47" s="4" t="s">
        <v>481</v>
      </c>
      <c r="F47" s="5">
        <v>550</v>
      </c>
      <c r="H47" s="19">
        <f t="shared" si="0"/>
        <v>550</v>
      </c>
    </row>
    <row r="48" spans="5:10" x14ac:dyDescent="0.25">
      <c r="E48" s="4" t="s">
        <v>478</v>
      </c>
      <c r="F48" s="5">
        <v>250</v>
      </c>
      <c r="H48" s="19">
        <f t="shared" si="0"/>
        <v>250</v>
      </c>
    </row>
    <row r="49" spans="2:8" x14ac:dyDescent="0.25">
      <c r="E49" s="4" t="s">
        <v>356</v>
      </c>
      <c r="F49" s="5">
        <v>200</v>
      </c>
      <c r="G49" s="20">
        <f>128.12+14.95+32.5</f>
        <v>175.57</v>
      </c>
      <c r="H49" s="19">
        <f t="shared" si="0"/>
        <v>24.430000000000007</v>
      </c>
    </row>
    <row r="50" spans="2:8" ht="15" thickBot="1" x14ac:dyDescent="0.3">
      <c r="E50" s="4" t="s">
        <v>479</v>
      </c>
      <c r="F50" s="6">
        <v>100</v>
      </c>
      <c r="G50" s="21"/>
      <c r="H50" s="21">
        <f t="shared" si="0"/>
        <v>100</v>
      </c>
    </row>
    <row r="51" spans="2:8" x14ac:dyDescent="0.25">
      <c r="F51" s="5">
        <f>SUM(F40:F50)</f>
        <v>78738</v>
      </c>
      <c r="G51" s="5">
        <f>SUM(G40:G50)</f>
        <v>72455.510000000009</v>
      </c>
      <c r="H51" s="19">
        <f t="shared" si="0"/>
        <v>6282.4899999999907</v>
      </c>
    </row>
    <row r="52" spans="2:8" x14ac:dyDescent="0.25">
      <c r="H52" s="19"/>
    </row>
    <row r="53" spans="2:8" x14ac:dyDescent="0.25">
      <c r="B53" s="4" t="s">
        <v>122</v>
      </c>
      <c r="C53" s="4" t="s">
        <v>482</v>
      </c>
      <c r="D53" s="4" t="s">
        <v>456</v>
      </c>
      <c r="E53" s="4" t="s">
        <v>483</v>
      </c>
      <c r="F53" s="5">
        <v>45000</v>
      </c>
      <c r="H53" s="19">
        <f t="shared" si="0"/>
        <v>45000</v>
      </c>
    </row>
    <row r="54" spans="2:8" x14ac:dyDescent="0.25">
      <c r="E54" s="4" t="s">
        <v>484</v>
      </c>
      <c r="F54" s="5">
        <v>45000</v>
      </c>
      <c r="H54" s="19">
        <f t="shared" si="0"/>
        <v>45000</v>
      </c>
    </row>
    <row r="55" spans="2:8" x14ac:dyDescent="0.25">
      <c r="E55" s="4" t="s">
        <v>485</v>
      </c>
      <c r="F55" s="5">
        <v>45000</v>
      </c>
      <c r="H55" s="19">
        <f t="shared" si="0"/>
        <v>45000</v>
      </c>
    </row>
    <row r="56" spans="2:8" x14ac:dyDescent="0.25">
      <c r="E56" s="4" t="s">
        <v>486</v>
      </c>
      <c r="F56" s="5">
        <v>35000</v>
      </c>
      <c r="H56" s="19">
        <f t="shared" si="0"/>
        <v>35000</v>
      </c>
    </row>
    <row r="57" spans="2:8" x14ac:dyDescent="0.25">
      <c r="E57" s="4" t="s">
        <v>487</v>
      </c>
      <c r="F57" s="5">
        <v>35000</v>
      </c>
      <c r="H57" s="19">
        <f t="shared" si="0"/>
        <v>35000</v>
      </c>
    </row>
    <row r="58" spans="2:8" x14ac:dyDescent="0.25">
      <c r="E58" s="4" t="s">
        <v>488</v>
      </c>
      <c r="F58" s="5">
        <v>35000</v>
      </c>
      <c r="H58" s="19">
        <f t="shared" si="0"/>
        <v>35000</v>
      </c>
    </row>
    <row r="59" spans="2:8" x14ac:dyDescent="0.25">
      <c r="E59" s="4" t="s">
        <v>489</v>
      </c>
      <c r="F59" s="5">
        <v>30000</v>
      </c>
      <c r="H59" s="19">
        <f t="shared" si="0"/>
        <v>30000</v>
      </c>
    </row>
    <row r="60" spans="2:8" x14ac:dyDescent="0.25">
      <c r="E60" s="4" t="s">
        <v>490</v>
      </c>
      <c r="F60" s="5">
        <v>30000</v>
      </c>
      <c r="H60" s="19">
        <f t="shared" si="0"/>
        <v>30000</v>
      </c>
    </row>
    <row r="61" spans="2:8" x14ac:dyDescent="0.25">
      <c r="E61" s="4" t="s">
        <v>491</v>
      </c>
      <c r="F61" s="5">
        <v>25000</v>
      </c>
      <c r="H61" s="19">
        <f t="shared" si="0"/>
        <v>25000</v>
      </c>
    </row>
    <row r="62" spans="2:8" x14ac:dyDescent="0.25">
      <c r="E62" s="4" t="s">
        <v>492</v>
      </c>
      <c r="F62" s="5">
        <v>20000</v>
      </c>
      <c r="H62" s="19">
        <f t="shared" si="0"/>
        <v>20000</v>
      </c>
    </row>
    <row r="63" spans="2:8" x14ac:dyDescent="0.25">
      <c r="E63" s="4" t="s">
        <v>493</v>
      </c>
      <c r="F63" s="5">
        <v>20000</v>
      </c>
      <c r="H63" s="19">
        <f t="shared" si="0"/>
        <v>20000</v>
      </c>
    </row>
    <row r="64" spans="2:8" x14ac:dyDescent="0.25">
      <c r="E64" s="4" t="s">
        <v>474</v>
      </c>
      <c r="F64" s="5">
        <v>1000</v>
      </c>
      <c r="H64" s="19">
        <f t="shared" si="0"/>
        <v>1000</v>
      </c>
    </row>
    <row r="65" spans="2:10" x14ac:dyDescent="0.25">
      <c r="E65" s="7" t="s">
        <v>465</v>
      </c>
      <c r="F65" s="8">
        <f>F53+F64</f>
        <v>46000</v>
      </c>
      <c r="G65" s="20">
        <v>40000</v>
      </c>
      <c r="H65" s="31">
        <f t="shared" si="0"/>
        <v>6000</v>
      </c>
      <c r="I65" s="4" t="s">
        <v>632</v>
      </c>
    </row>
    <row r="66" spans="2:10" x14ac:dyDescent="0.25">
      <c r="E66" s="4" t="s">
        <v>480</v>
      </c>
      <c r="F66" s="5">
        <v>4600</v>
      </c>
      <c r="G66" s="20">
        <v>4000</v>
      </c>
      <c r="H66" s="31">
        <f t="shared" si="0"/>
        <v>600</v>
      </c>
      <c r="I66" s="4" t="s">
        <v>632</v>
      </c>
    </row>
    <row r="67" spans="2:10" x14ac:dyDescent="0.25">
      <c r="E67" s="4" t="s">
        <v>145</v>
      </c>
      <c r="F67" s="5">
        <v>850</v>
      </c>
      <c r="H67" s="19">
        <f t="shared" si="0"/>
        <v>850</v>
      </c>
    </row>
    <row r="68" spans="2:10" x14ac:dyDescent="0.25">
      <c r="E68" s="4" t="s">
        <v>454</v>
      </c>
      <c r="F68" s="5">
        <v>780</v>
      </c>
      <c r="H68" s="19">
        <f t="shared" ref="H68:H125" si="1">IFERROR(F68-G68, " ")</f>
        <v>780</v>
      </c>
    </row>
    <row r="69" spans="2:10" x14ac:dyDescent="0.25">
      <c r="E69" s="4" t="s">
        <v>494</v>
      </c>
      <c r="F69" s="5">
        <v>350</v>
      </c>
      <c r="H69" s="19">
        <f t="shared" si="1"/>
        <v>350</v>
      </c>
      <c r="I69" s="51" t="s">
        <v>1085</v>
      </c>
    </row>
    <row r="70" spans="2:10" x14ac:dyDescent="0.25">
      <c r="E70" s="4" t="s">
        <v>495</v>
      </c>
      <c r="F70" s="5">
        <v>300</v>
      </c>
      <c r="G70" s="20">
        <f>76.62+144.3</f>
        <v>220.92000000000002</v>
      </c>
      <c r="H70" s="19">
        <f t="shared" si="1"/>
        <v>79.079999999999984</v>
      </c>
    </row>
    <row r="71" spans="2:10" x14ac:dyDescent="0.25">
      <c r="E71" s="4" t="s">
        <v>496</v>
      </c>
      <c r="F71" s="5">
        <v>150</v>
      </c>
      <c r="H71" s="19">
        <f t="shared" si="1"/>
        <v>150</v>
      </c>
    </row>
    <row r="72" spans="2:10" x14ac:dyDescent="0.25">
      <c r="E72" s="4" t="s">
        <v>356</v>
      </c>
      <c r="F72" s="5">
        <v>100</v>
      </c>
      <c r="H72" s="19">
        <f t="shared" si="1"/>
        <v>100</v>
      </c>
      <c r="I72" s="51" t="s">
        <v>1085</v>
      </c>
      <c r="J72" s="36">
        <f>H69+H72</f>
        <v>450</v>
      </c>
    </row>
    <row r="73" spans="2:10" ht="15" thickBot="1" x14ac:dyDescent="0.3">
      <c r="E73" s="4" t="s">
        <v>503</v>
      </c>
      <c r="F73" s="6">
        <v>-2500</v>
      </c>
      <c r="G73" s="21"/>
      <c r="H73" s="21">
        <f t="shared" si="1"/>
        <v>-2500</v>
      </c>
    </row>
    <row r="74" spans="2:10" x14ac:dyDescent="0.25">
      <c r="F74" s="5">
        <f>SUM(F65:F73)</f>
        <v>50630</v>
      </c>
      <c r="G74" s="5">
        <f>SUM(G65:G73)</f>
        <v>44220.92</v>
      </c>
      <c r="H74" s="19">
        <f t="shared" si="1"/>
        <v>6409.0800000000017</v>
      </c>
    </row>
    <row r="75" spans="2:10" x14ac:dyDescent="0.25">
      <c r="H75" s="19"/>
    </row>
    <row r="76" spans="2:10" x14ac:dyDescent="0.25">
      <c r="B76" s="4" t="s">
        <v>414</v>
      </c>
      <c r="C76" s="4" t="s">
        <v>497</v>
      </c>
      <c r="D76" s="4" t="s">
        <v>443</v>
      </c>
      <c r="E76" s="4" t="s">
        <v>498</v>
      </c>
      <c r="F76" s="5">
        <v>2000</v>
      </c>
      <c r="H76" s="19">
        <f t="shared" si="1"/>
        <v>2000</v>
      </c>
    </row>
    <row r="77" spans="2:10" x14ac:dyDescent="0.25">
      <c r="E77" s="4" t="s">
        <v>499</v>
      </c>
      <c r="F77" s="5">
        <v>2500</v>
      </c>
      <c r="G77" s="20">
        <f>221.44+672.54+7.77+6.47+165.13+45.57+144.18+44.62</f>
        <v>1307.7199999999998</v>
      </c>
      <c r="H77" s="19">
        <f t="shared" si="1"/>
        <v>1192.2800000000002</v>
      </c>
      <c r="I77" s="51" t="s">
        <v>1085</v>
      </c>
    </row>
    <row r="78" spans="2:10" x14ac:dyDescent="0.25">
      <c r="E78" s="4" t="s">
        <v>32</v>
      </c>
      <c r="F78" s="5">
        <v>600</v>
      </c>
      <c r="G78" s="20">
        <f>73.51+45.94+91.41+93.07+55.89+5.99+58.93+15.99+63.75</f>
        <v>504.48</v>
      </c>
      <c r="H78" s="19">
        <f t="shared" si="1"/>
        <v>95.519999999999982</v>
      </c>
      <c r="I78" s="51" t="s">
        <v>1085</v>
      </c>
    </row>
    <row r="79" spans="2:10" x14ac:dyDescent="0.25">
      <c r="E79" s="4" t="s">
        <v>33</v>
      </c>
      <c r="F79" s="5">
        <v>1200</v>
      </c>
      <c r="G79" s="20">
        <f>230+35.7+216.32+30.92+377.56+64.24</f>
        <v>954.74</v>
      </c>
      <c r="H79" s="19">
        <f t="shared" si="1"/>
        <v>245.26</v>
      </c>
      <c r="I79" s="51" t="s">
        <v>1085</v>
      </c>
    </row>
    <row r="80" spans="2:10" x14ac:dyDescent="0.25">
      <c r="E80" s="4" t="s">
        <v>500</v>
      </c>
      <c r="F80" s="5">
        <v>600</v>
      </c>
      <c r="G80" s="20">
        <f>56.86+39.89+176.13</f>
        <v>272.88</v>
      </c>
      <c r="H80" s="19">
        <f t="shared" si="1"/>
        <v>327.12</v>
      </c>
      <c r="I80" s="51" t="s">
        <v>1085</v>
      </c>
    </row>
    <row r="81" spans="1:10" x14ac:dyDescent="0.25">
      <c r="E81" s="4" t="s">
        <v>38</v>
      </c>
      <c r="F81" s="5">
        <v>100</v>
      </c>
      <c r="H81" s="19">
        <f t="shared" si="1"/>
        <v>100</v>
      </c>
      <c r="I81" s="51" t="s">
        <v>1085</v>
      </c>
    </row>
    <row r="82" spans="1:10" x14ac:dyDescent="0.25">
      <c r="E82" s="4" t="s">
        <v>501</v>
      </c>
      <c r="F82" s="5">
        <v>90</v>
      </c>
      <c r="G82" s="20">
        <f>9.98+9.03+26.33</f>
        <v>45.339999999999996</v>
      </c>
      <c r="H82" s="19">
        <f t="shared" si="1"/>
        <v>44.660000000000004</v>
      </c>
      <c r="I82" s="51" t="s">
        <v>1085</v>
      </c>
    </row>
    <row r="83" spans="1:10" x14ac:dyDescent="0.25">
      <c r="E83" s="4" t="s">
        <v>36</v>
      </c>
      <c r="F83" s="5">
        <v>850</v>
      </c>
      <c r="G83" s="20">
        <f>660</f>
        <v>660</v>
      </c>
      <c r="H83" s="19">
        <f t="shared" si="1"/>
        <v>190</v>
      </c>
      <c r="I83" s="51" t="s">
        <v>1085</v>
      </c>
    </row>
    <row r="84" spans="1:10" x14ac:dyDescent="0.25">
      <c r="E84" s="4" t="s">
        <v>145</v>
      </c>
      <c r="F84" s="5">
        <v>2900</v>
      </c>
      <c r="H84" s="19">
        <f t="shared" si="1"/>
        <v>2900</v>
      </c>
    </row>
    <row r="85" spans="1:10" ht="15" thickBot="1" x14ac:dyDescent="0.3">
      <c r="E85" s="4" t="s">
        <v>502</v>
      </c>
      <c r="F85" s="6">
        <v>300</v>
      </c>
      <c r="G85" s="21"/>
      <c r="H85" s="21">
        <f t="shared" si="1"/>
        <v>300</v>
      </c>
      <c r="I85" s="51" t="s">
        <v>1085</v>
      </c>
      <c r="J85" s="36">
        <f>H77+H78+H79+H80+H81+H82+H83+H85</f>
        <v>2494.84</v>
      </c>
    </row>
    <row r="86" spans="1:10" x14ac:dyDescent="0.25">
      <c r="E86" s="4" t="s">
        <v>503</v>
      </c>
      <c r="F86" s="5">
        <v>3300</v>
      </c>
      <c r="H86" s="19">
        <f t="shared" si="1"/>
        <v>3300</v>
      </c>
    </row>
    <row r="87" spans="1:10" x14ac:dyDescent="0.25">
      <c r="H87" s="19"/>
    </row>
    <row r="88" spans="1:10" x14ac:dyDescent="0.25">
      <c r="A88" s="24">
        <v>42130</v>
      </c>
      <c r="B88" s="4" t="s">
        <v>284</v>
      </c>
      <c r="C88" s="4" t="s">
        <v>504</v>
      </c>
      <c r="D88" s="4" t="s">
        <v>443</v>
      </c>
      <c r="E88" s="4" t="s">
        <v>188</v>
      </c>
      <c r="F88" s="5">
        <v>35.520000000000003</v>
      </c>
      <c r="H88" s="19">
        <f t="shared" si="1"/>
        <v>35.520000000000003</v>
      </c>
    </row>
    <row r="89" spans="1:10" x14ac:dyDescent="0.25">
      <c r="E89" s="4" t="s">
        <v>505</v>
      </c>
      <c r="F89" s="5">
        <v>181.72</v>
      </c>
      <c r="H89" s="19">
        <f t="shared" si="1"/>
        <v>181.72</v>
      </c>
    </row>
    <row r="90" spans="1:10" x14ac:dyDescent="0.25">
      <c r="E90" s="4" t="s">
        <v>506</v>
      </c>
      <c r="F90" s="5">
        <v>69.58</v>
      </c>
      <c r="H90" s="19">
        <f t="shared" si="1"/>
        <v>69.58</v>
      </c>
    </row>
    <row r="91" spans="1:10" x14ac:dyDescent="0.25">
      <c r="E91" s="4" t="s">
        <v>507</v>
      </c>
      <c r="F91" s="5">
        <v>175</v>
      </c>
      <c r="G91" s="20">
        <v>175</v>
      </c>
      <c r="H91" s="19">
        <f t="shared" si="1"/>
        <v>0</v>
      </c>
    </row>
    <row r="92" spans="1:10" ht="15" thickBot="1" x14ac:dyDescent="0.3">
      <c r="E92" s="4" t="s">
        <v>494</v>
      </c>
      <c r="F92" s="6">
        <v>75</v>
      </c>
      <c r="G92" s="21"/>
      <c r="H92" s="21">
        <f t="shared" si="1"/>
        <v>75</v>
      </c>
    </row>
    <row r="93" spans="1:10" x14ac:dyDescent="0.25">
      <c r="F93" s="5">
        <f>SUM(F88:F92)</f>
        <v>536.81999999999994</v>
      </c>
      <c r="H93" s="19">
        <f t="shared" si="1"/>
        <v>536.81999999999994</v>
      </c>
    </row>
    <row r="94" spans="1:10" x14ac:dyDescent="0.25">
      <c r="H94" s="19"/>
    </row>
    <row r="95" spans="1:10" x14ac:dyDescent="0.25">
      <c r="H95" s="19"/>
    </row>
    <row r="96" spans="1:10" x14ac:dyDescent="0.25">
      <c r="B96" s="4" t="s">
        <v>284</v>
      </c>
      <c r="C96" s="4" t="s">
        <v>508</v>
      </c>
      <c r="D96" s="4" t="s">
        <v>443</v>
      </c>
      <c r="E96" s="4" t="s">
        <v>509</v>
      </c>
      <c r="F96" s="5">
        <v>3500</v>
      </c>
      <c r="G96" s="20">
        <v>3500</v>
      </c>
      <c r="H96" s="19">
        <f t="shared" si="1"/>
        <v>0</v>
      </c>
    </row>
    <row r="97" spans="2:8" x14ac:dyDescent="0.25">
      <c r="E97" s="4" t="s">
        <v>510</v>
      </c>
      <c r="F97" s="5">
        <v>500</v>
      </c>
      <c r="G97" s="20">
        <v>500</v>
      </c>
      <c r="H97" s="19">
        <f t="shared" si="1"/>
        <v>0</v>
      </c>
    </row>
    <row r="98" spans="2:8" ht="15" thickBot="1" x14ac:dyDescent="0.3">
      <c r="E98" s="4" t="s">
        <v>248</v>
      </c>
      <c r="F98" s="6">
        <v>300</v>
      </c>
      <c r="G98" s="21">
        <v>300</v>
      </c>
      <c r="H98" s="21">
        <f t="shared" si="1"/>
        <v>0</v>
      </c>
    </row>
    <row r="99" spans="2:8" x14ac:dyDescent="0.25">
      <c r="F99" s="5">
        <f>SUM(F96:F98)</f>
        <v>4300</v>
      </c>
      <c r="H99" s="19">
        <f t="shared" si="1"/>
        <v>4300</v>
      </c>
    </row>
    <row r="100" spans="2:8" x14ac:dyDescent="0.25">
      <c r="H100" s="19"/>
    </row>
    <row r="101" spans="2:8" ht="15" thickBot="1" x14ac:dyDescent="0.3">
      <c r="B101" s="4" t="s">
        <v>284</v>
      </c>
      <c r="C101" s="4" t="s">
        <v>739</v>
      </c>
      <c r="D101" s="4" t="s">
        <v>443</v>
      </c>
      <c r="E101" s="4" t="s">
        <v>511</v>
      </c>
      <c r="F101" s="6">
        <v>3500</v>
      </c>
      <c r="G101" s="21">
        <v>3500</v>
      </c>
      <c r="H101" s="21">
        <f t="shared" si="1"/>
        <v>0</v>
      </c>
    </row>
    <row r="102" spans="2:8" x14ac:dyDescent="0.25">
      <c r="F102" s="5">
        <f>SUM(F101)</f>
        <v>3500</v>
      </c>
      <c r="H102" s="19">
        <f t="shared" si="1"/>
        <v>3500</v>
      </c>
    </row>
    <row r="103" spans="2:8" x14ac:dyDescent="0.25">
      <c r="H103" s="19"/>
    </row>
    <row r="104" spans="2:8" x14ac:dyDescent="0.25">
      <c r="B104" s="4" t="s">
        <v>903</v>
      </c>
      <c r="C104" s="4" t="s">
        <v>512</v>
      </c>
      <c r="D104" s="4" t="s">
        <v>443</v>
      </c>
      <c r="E104" s="4" t="s">
        <v>513</v>
      </c>
      <c r="F104" s="5">
        <v>7500</v>
      </c>
      <c r="G104" s="20">
        <v>8000</v>
      </c>
      <c r="H104" s="19">
        <f t="shared" si="1"/>
        <v>-500</v>
      </c>
    </row>
    <row r="105" spans="2:8" ht="15" thickBot="1" x14ac:dyDescent="0.3">
      <c r="E105" s="4" t="s">
        <v>514</v>
      </c>
      <c r="F105" s="6">
        <v>500</v>
      </c>
      <c r="G105" s="21">
        <v>0</v>
      </c>
      <c r="H105" s="21">
        <f t="shared" si="1"/>
        <v>500</v>
      </c>
    </row>
    <row r="106" spans="2:8" x14ac:dyDescent="0.25">
      <c r="F106" s="5">
        <f>SUM(F104:F105)</f>
        <v>8000</v>
      </c>
      <c r="H106" s="19">
        <f t="shared" si="1"/>
        <v>8000</v>
      </c>
    </row>
    <row r="107" spans="2:8" x14ac:dyDescent="0.25">
      <c r="H107" s="19"/>
    </row>
    <row r="108" spans="2:8" x14ac:dyDescent="0.25">
      <c r="B108" s="4" t="s">
        <v>420</v>
      </c>
      <c r="C108" s="4" t="s">
        <v>446</v>
      </c>
      <c r="D108" s="4" t="s">
        <v>444</v>
      </c>
      <c r="E108" s="4" t="s">
        <v>515</v>
      </c>
      <c r="F108" s="5">
        <v>281.39999999999998</v>
      </c>
      <c r="H108" s="19">
        <f t="shared" si="1"/>
        <v>281.39999999999998</v>
      </c>
    </row>
    <row r="109" spans="2:8" ht="15" thickBot="1" x14ac:dyDescent="0.3">
      <c r="E109" s="4" t="s">
        <v>191</v>
      </c>
      <c r="F109" s="6">
        <v>100</v>
      </c>
      <c r="G109" s="21"/>
      <c r="H109" s="21">
        <f t="shared" si="1"/>
        <v>100</v>
      </c>
    </row>
    <row r="110" spans="2:8" x14ac:dyDescent="0.25">
      <c r="F110" s="5">
        <f>SUM(F108:F109)</f>
        <v>381.4</v>
      </c>
      <c r="H110" s="19">
        <f t="shared" si="1"/>
        <v>381.4</v>
      </c>
    </row>
    <row r="111" spans="2:8" x14ac:dyDescent="0.25">
      <c r="H111" s="19"/>
    </row>
    <row r="112" spans="2:8" x14ac:dyDescent="0.25">
      <c r="B112" s="4" t="s">
        <v>516</v>
      </c>
      <c r="C112" s="4" t="s">
        <v>517</v>
      </c>
      <c r="D112" s="4" t="s">
        <v>443</v>
      </c>
      <c r="E112" s="4" t="s">
        <v>517</v>
      </c>
      <c r="F112" s="5">
        <v>30000</v>
      </c>
      <c r="G112" s="20">
        <v>20000</v>
      </c>
      <c r="H112" s="19">
        <f t="shared" si="1"/>
        <v>10000</v>
      </c>
    </row>
    <row r="113" spans="1:10" ht="15" thickBot="1" x14ac:dyDescent="0.3">
      <c r="E113" s="4" t="s">
        <v>518</v>
      </c>
      <c r="F113" s="6">
        <v>-10000</v>
      </c>
      <c r="G113" s="21"/>
      <c r="H113" s="21">
        <f t="shared" si="1"/>
        <v>-10000</v>
      </c>
    </row>
    <row r="114" spans="1:10" x14ac:dyDescent="0.25">
      <c r="F114" s="5">
        <f>SUM(F112:F113)</f>
        <v>20000</v>
      </c>
      <c r="H114" s="19">
        <f t="shared" si="1"/>
        <v>20000</v>
      </c>
    </row>
    <row r="115" spans="1:10" x14ac:dyDescent="0.25">
      <c r="H115" s="19"/>
    </row>
    <row r="116" spans="1:10" x14ac:dyDescent="0.25">
      <c r="B116" s="4" t="s">
        <v>88</v>
      </c>
      <c r="C116" s="4" t="s">
        <v>519</v>
      </c>
      <c r="D116" s="4" t="s">
        <v>443</v>
      </c>
      <c r="E116" s="4" t="s">
        <v>93</v>
      </c>
      <c r="F116" s="5">
        <v>332</v>
      </c>
      <c r="G116" s="20">
        <f>106+30</f>
        <v>136</v>
      </c>
      <c r="H116" s="19">
        <f t="shared" si="1"/>
        <v>196</v>
      </c>
    </row>
    <row r="117" spans="1:10" ht="15" thickBot="1" x14ac:dyDescent="0.3">
      <c r="E117" s="4" t="s">
        <v>520</v>
      </c>
      <c r="F117" s="6">
        <v>3000</v>
      </c>
      <c r="G117" s="21">
        <f>1500+780+720</f>
        <v>3000</v>
      </c>
      <c r="H117" s="21">
        <f t="shared" si="1"/>
        <v>0</v>
      </c>
    </row>
    <row r="118" spans="1:10" x14ac:dyDescent="0.25">
      <c r="F118" s="5">
        <f>SUM(F116:F117)</f>
        <v>3332</v>
      </c>
      <c r="H118" s="19">
        <f t="shared" si="1"/>
        <v>3332</v>
      </c>
    </row>
    <row r="119" spans="1:10" x14ac:dyDescent="0.25">
      <c r="H119" s="19"/>
    </row>
    <row r="120" spans="1:10" x14ac:dyDescent="0.25">
      <c r="B120" s="4" t="s">
        <v>83</v>
      </c>
      <c r="C120" s="4" t="s">
        <v>446</v>
      </c>
      <c r="D120" s="4" t="s">
        <v>444</v>
      </c>
      <c r="E120" s="4" t="s">
        <v>521</v>
      </c>
      <c r="F120" s="5">
        <v>1530.96</v>
      </c>
      <c r="G120" s="20">
        <v>1006.14</v>
      </c>
      <c r="H120" s="19">
        <f t="shared" si="1"/>
        <v>524.82000000000005</v>
      </c>
    </row>
    <row r="121" spans="1:10" ht="15" thickBot="1" x14ac:dyDescent="0.3">
      <c r="E121" s="4" t="s">
        <v>522</v>
      </c>
      <c r="F121" s="6">
        <v>460</v>
      </c>
      <c r="G121" s="21">
        <f>55.29+47.8+44.17+29+47+42</f>
        <v>265.26</v>
      </c>
      <c r="H121" s="21">
        <f t="shared" si="1"/>
        <v>194.74</v>
      </c>
      <c r="I121" s="31">
        <f>H121+H120</f>
        <v>719.56000000000006</v>
      </c>
      <c r="J121" s="45" t="s">
        <v>941</v>
      </c>
    </row>
    <row r="122" spans="1:10" x14ac:dyDescent="0.25">
      <c r="F122" s="5">
        <f>SUM(F120:F121)</f>
        <v>1990.96</v>
      </c>
      <c r="H122" s="19">
        <f t="shared" si="1"/>
        <v>1990.96</v>
      </c>
    </row>
    <row r="123" spans="1:10" x14ac:dyDescent="0.25">
      <c r="A123" s="23" t="s">
        <v>541</v>
      </c>
      <c r="B123" s="4" t="s">
        <v>122</v>
      </c>
      <c r="C123" s="4" t="s">
        <v>542</v>
      </c>
      <c r="D123" s="4" t="s">
        <v>443</v>
      </c>
      <c r="E123" s="4" t="s">
        <v>543</v>
      </c>
      <c r="F123" s="5">
        <v>66.95</v>
      </c>
      <c r="G123" s="20">
        <v>66.95</v>
      </c>
      <c r="H123" s="19">
        <f t="shared" si="1"/>
        <v>0</v>
      </c>
    </row>
    <row r="124" spans="1:10" x14ac:dyDescent="0.25">
      <c r="A124" s="22">
        <v>42249</v>
      </c>
      <c r="B124" s="4" t="s">
        <v>354</v>
      </c>
      <c r="C124" s="4" t="s">
        <v>546</v>
      </c>
      <c r="D124" s="4" t="s">
        <v>443</v>
      </c>
      <c r="E124" s="4" t="s">
        <v>547</v>
      </c>
      <c r="F124" s="5">
        <v>900</v>
      </c>
      <c r="G124" s="20">
        <v>900</v>
      </c>
      <c r="H124" s="19">
        <f t="shared" si="1"/>
        <v>0</v>
      </c>
    </row>
    <row r="125" spans="1:10" ht="15" thickBot="1" x14ac:dyDescent="0.3">
      <c r="E125" s="4" t="s">
        <v>191</v>
      </c>
      <c r="F125" s="6">
        <v>950</v>
      </c>
      <c r="G125" s="21">
        <v>950</v>
      </c>
      <c r="H125" s="25">
        <f t="shared" si="1"/>
        <v>0</v>
      </c>
    </row>
    <row r="126" spans="1:10" x14ac:dyDescent="0.25">
      <c r="F126" s="5">
        <f>SUM(F124:F125)</f>
        <v>1850</v>
      </c>
      <c r="G126" s="5"/>
      <c r="H126" s="5">
        <f>SUM(H124:H125)</f>
        <v>0</v>
      </c>
    </row>
    <row r="128" spans="1:10" x14ac:dyDescent="0.25">
      <c r="A128" s="22">
        <v>42256</v>
      </c>
      <c r="B128" s="4" t="s">
        <v>354</v>
      </c>
      <c r="C128" s="4" t="s">
        <v>549</v>
      </c>
      <c r="D128" s="4" t="s">
        <v>443</v>
      </c>
      <c r="E128" s="4" t="s">
        <v>550</v>
      </c>
      <c r="F128" s="5">
        <v>300</v>
      </c>
      <c r="G128" s="20">
        <v>300</v>
      </c>
      <c r="H128" s="19">
        <f t="shared" ref="H128:H175" si="2">IFERROR(F128-G128, " ")</f>
        <v>0</v>
      </c>
    </row>
    <row r="129" spans="2:10" x14ac:dyDescent="0.25">
      <c r="C129" s="4" t="s">
        <v>554</v>
      </c>
      <c r="E129" s="4" t="s">
        <v>551</v>
      </c>
      <c r="F129" s="5">
        <v>77</v>
      </c>
      <c r="G129" s="20">
        <f>49.9</f>
        <v>49.9</v>
      </c>
      <c r="H129" s="19">
        <f t="shared" si="2"/>
        <v>27.1</v>
      </c>
    </row>
    <row r="130" spans="2:10" x14ac:dyDescent="0.25">
      <c r="E130" s="4" t="s">
        <v>552</v>
      </c>
      <c r="F130" s="5">
        <v>215</v>
      </c>
      <c r="G130" s="20">
        <v>215</v>
      </c>
      <c r="H130" s="19">
        <f t="shared" si="2"/>
        <v>0</v>
      </c>
    </row>
    <row r="131" spans="2:10" ht="15" thickBot="1" x14ac:dyDescent="0.3">
      <c r="E131" s="4" t="s">
        <v>553</v>
      </c>
      <c r="F131" s="6">
        <v>23.69</v>
      </c>
      <c r="G131" s="21">
        <f>14.95</f>
        <v>14.95</v>
      </c>
      <c r="H131" s="25">
        <f t="shared" si="2"/>
        <v>8.740000000000002</v>
      </c>
      <c r="I131" s="31">
        <f>H131+H129</f>
        <v>35.840000000000003</v>
      </c>
      <c r="J131" s="45" t="s">
        <v>941</v>
      </c>
    </row>
    <row r="132" spans="2:10" x14ac:dyDescent="0.25">
      <c r="F132" s="5">
        <f>SUM(F128:F131)</f>
        <v>615.69000000000005</v>
      </c>
      <c r="H132" s="19">
        <f t="shared" si="2"/>
        <v>615.69000000000005</v>
      </c>
    </row>
    <row r="133" spans="2:10" x14ac:dyDescent="0.25">
      <c r="B133" s="4" t="s">
        <v>555</v>
      </c>
      <c r="C133" s="4" t="s">
        <v>556</v>
      </c>
      <c r="D133" s="4" t="s">
        <v>557</v>
      </c>
      <c r="E133" s="4" t="s">
        <v>558</v>
      </c>
      <c r="F133" s="5">
        <v>3500</v>
      </c>
      <c r="G133" s="20">
        <v>3500</v>
      </c>
      <c r="H133" s="19">
        <f t="shared" si="2"/>
        <v>0</v>
      </c>
    </row>
    <row r="134" spans="2:10" x14ac:dyDescent="0.25">
      <c r="E134" s="4" t="s">
        <v>559</v>
      </c>
      <c r="F134" s="5">
        <v>1500</v>
      </c>
      <c r="G134" s="20">
        <v>1500</v>
      </c>
      <c r="H134" s="19">
        <f t="shared" si="2"/>
        <v>0</v>
      </c>
    </row>
    <row r="135" spans="2:10" x14ac:dyDescent="0.25">
      <c r="E135" s="4" t="s">
        <v>560</v>
      </c>
      <c r="F135" s="5">
        <v>1800</v>
      </c>
      <c r="G135" s="20">
        <v>1800</v>
      </c>
      <c r="H135" s="19">
        <f t="shared" si="2"/>
        <v>0</v>
      </c>
    </row>
    <row r="136" spans="2:10" x14ac:dyDescent="0.25">
      <c r="E136" s="4" t="s">
        <v>561</v>
      </c>
      <c r="F136" s="5">
        <v>355.86</v>
      </c>
      <c r="G136" s="20">
        <f>135.06+14.38+14.98+51.38+104.28</f>
        <v>320.08</v>
      </c>
      <c r="H136" s="19">
        <f t="shared" si="2"/>
        <v>35.78000000000003</v>
      </c>
      <c r="J136" s="36"/>
    </row>
    <row r="137" spans="2:10" ht="15" thickBot="1" x14ac:dyDescent="0.3">
      <c r="E137" s="4" t="s">
        <v>562</v>
      </c>
      <c r="F137" s="6">
        <v>160</v>
      </c>
      <c r="G137" s="21"/>
      <c r="H137" s="25">
        <f t="shared" si="2"/>
        <v>160</v>
      </c>
      <c r="I137" s="31">
        <f>H137+H136</f>
        <v>195.78000000000003</v>
      </c>
      <c r="J137" s="45" t="s">
        <v>941</v>
      </c>
    </row>
    <row r="138" spans="2:10" x14ac:dyDescent="0.25">
      <c r="F138" s="5">
        <f>SUM(F133:F137)</f>
        <v>7315.86</v>
      </c>
      <c r="G138" s="5"/>
      <c r="H138" s="5">
        <f>SUM(H133:H137)</f>
        <v>195.78000000000003</v>
      </c>
    </row>
    <row r="139" spans="2:10" x14ac:dyDescent="0.25">
      <c r="B139" s="4" t="s">
        <v>110</v>
      </c>
      <c r="C139" s="4" t="s">
        <v>563</v>
      </c>
      <c r="D139" s="4" t="s">
        <v>443</v>
      </c>
      <c r="E139" s="4" t="s">
        <v>564</v>
      </c>
      <c r="F139" s="5">
        <v>100</v>
      </c>
      <c r="G139" s="5">
        <v>100</v>
      </c>
      <c r="H139" s="19">
        <f t="shared" si="2"/>
        <v>0</v>
      </c>
    </row>
    <row r="140" spans="2:10" x14ac:dyDescent="0.25">
      <c r="E140" s="4" t="s">
        <v>565</v>
      </c>
      <c r="F140" s="5">
        <v>10</v>
      </c>
      <c r="G140" s="5">
        <v>10</v>
      </c>
      <c r="H140" s="19">
        <f t="shared" si="2"/>
        <v>0</v>
      </c>
    </row>
    <row r="141" spans="2:10" x14ac:dyDescent="0.25">
      <c r="E141" s="4" t="s">
        <v>566</v>
      </c>
      <c r="F141" s="5">
        <v>30</v>
      </c>
      <c r="G141" s="5">
        <v>30</v>
      </c>
      <c r="H141" s="19">
        <f t="shared" si="2"/>
        <v>0</v>
      </c>
    </row>
    <row r="142" spans="2:10" x14ac:dyDescent="0.25">
      <c r="E142" s="4" t="s">
        <v>567</v>
      </c>
      <c r="F142" s="5">
        <v>15</v>
      </c>
      <c r="G142" s="5">
        <v>15</v>
      </c>
      <c r="H142" s="19">
        <f t="shared" si="2"/>
        <v>0</v>
      </c>
    </row>
    <row r="143" spans="2:10" ht="15" thickBot="1" x14ac:dyDescent="0.3">
      <c r="E143" s="4" t="s">
        <v>568</v>
      </c>
      <c r="F143" s="6">
        <v>25</v>
      </c>
      <c r="G143" s="6">
        <v>25</v>
      </c>
      <c r="H143" s="25">
        <f t="shared" si="2"/>
        <v>0</v>
      </c>
    </row>
    <row r="144" spans="2:10" x14ac:dyDescent="0.25">
      <c r="F144" s="5">
        <f>SUM(F139:F143)</f>
        <v>180</v>
      </c>
      <c r="G144" s="20">
        <v>180</v>
      </c>
      <c r="H144" s="19">
        <f t="shared" si="2"/>
        <v>0</v>
      </c>
    </row>
    <row r="145" spans="1:10" x14ac:dyDescent="0.25">
      <c r="B145" s="4" t="s">
        <v>110</v>
      </c>
      <c r="C145" s="4" t="s">
        <v>569</v>
      </c>
      <c r="D145" s="4" t="s">
        <v>557</v>
      </c>
      <c r="E145" s="4" t="s">
        <v>570</v>
      </c>
      <c r="F145" s="5">
        <v>15</v>
      </c>
      <c r="G145" s="5">
        <v>15</v>
      </c>
      <c r="H145" s="19">
        <f t="shared" si="2"/>
        <v>0</v>
      </c>
    </row>
    <row r="146" spans="1:10" x14ac:dyDescent="0.25">
      <c r="E146" s="4" t="s">
        <v>571</v>
      </c>
      <c r="F146" s="5">
        <v>18</v>
      </c>
      <c r="G146" s="5">
        <v>18</v>
      </c>
      <c r="H146" s="19">
        <f t="shared" si="2"/>
        <v>0</v>
      </c>
    </row>
    <row r="147" spans="1:10" x14ac:dyDescent="0.25">
      <c r="E147" s="4" t="s">
        <v>572</v>
      </c>
      <c r="F147" s="5">
        <v>25</v>
      </c>
      <c r="G147" s="5">
        <v>25</v>
      </c>
      <c r="H147" s="19">
        <f t="shared" si="2"/>
        <v>0</v>
      </c>
    </row>
    <row r="148" spans="1:10" x14ac:dyDescent="0.25">
      <c r="E148" s="4" t="s">
        <v>573</v>
      </c>
      <c r="F148" s="5">
        <v>13</v>
      </c>
      <c r="G148" s="5">
        <v>13</v>
      </c>
      <c r="H148" s="19">
        <f t="shared" si="2"/>
        <v>0</v>
      </c>
    </row>
    <row r="149" spans="1:10" x14ac:dyDescent="0.25">
      <c r="E149" s="4" t="s">
        <v>574</v>
      </c>
      <c r="F149" s="5">
        <v>2</v>
      </c>
      <c r="G149" s="5">
        <v>2</v>
      </c>
      <c r="H149" s="19">
        <f t="shared" si="2"/>
        <v>0</v>
      </c>
    </row>
    <row r="150" spans="1:10" x14ac:dyDescent="0.25">
      <c r="E150" s="4" t="s">
        <v>575</v>
      </c>
      <c r="F150" s="5">
        <v>17</v>
      </c>
      <c r="G150" s="5">
        <v>17</v>
      </c>
      <c r="H150" s="19">
        <f t="shared" si="2"/>
        <v>0</v>
      </c>
    </row>
    <row r="151" spans="1:10" ht="15" thickBot="1" x14ac:dyDescent="0.3">
      <c r="E151" s="4" t="s">
        <v>576</v>
      </c>
      <c r="F151" s="6">
        <v>3</v>
      </c>
      <c r="G151" s="6">
        <v>3</v>
      </c>
      <c r="H151" s="25">
        <f t="shared" si="2"/>
        <v>0</v>
      </c>
    </row>
    <row r="152" spans="1:10" x14ac:dyDescent="0.25">
      <c r="F152" s="5">
        <f>SUM(F145:F151)</f>
        <v>93</v>
      </c>
      <c r="H152" s="19">
        <f t="shared" si="2"/>
        <v>93</v>
      </c>
    </row>
    <row r="153" spans="1:10" x14ac:dyDescent="0.25">
      <c r="B153" s="4" t="s">
        <v>110</v>
      </c>
      <c r="C153" s="4" t="s">
        <v>577</v>
      </c>
      <c r="D153" s="4" t="s">
        <v>443</v>
      </c>
      <c r="E153" s="4" t="s">
        <v>578</v>
      </c>
      <c r="F153" s="5">
        <v>110</v>
      </c>
      <c r="G153" s="20">
        <v>110</v>
      </c>
      <c r="H153" s="19">
        <f t="shared" si="2"/>
        <v>0</v>
      </c>
    </row>
    <row r="154" spans="1:10" x14ac:dyDescent="0.25">
      <c r="E154" s="4" t="s">
        <v>579</v>
      </c>
      <c r="F154" s="5">
        <v>20</v>
      </c>
      <c r="H154" s="19">
        <f t="shared" si="2"/>
        <v>20</v>
      </c>
    </row>
    <row r="155" spans="1:10" ht="15" thickBot="1" x14ac:dyDescent="0.3">
      <c r="E155" s="4" t="s">
        <v>580</v>
      </c>
      <c r="F155" s="6">
        <v>30</v>
      </c>
      <c r="G155" s="21"/>
      <c r="H155" s="25">
        <f t="shared" si="2"/>
        <v>30</v>
      </c>
    </row>
    <row r="156" spans="1:10" x14ac:dyDescent="0.25">
      <c r="F156" s="5">
        <f>SUM(F153:F155)</f>
        <v>160</v>
      </c>
      <c r="H156" s="5">
        <f>SUM(H153:H155)</f>
        <v>50</v>
      </c>
      <c r="I156" s="31">
        <f>H156</f>
        <v>50</v>
      </c>
      <c r="J156" s="45" t="s">
        <v>941</v>
      </c>
    </row>
    <row r="157" spans="1:10" ht="15" thickBot="1" x14ac:dyDescent="0.3">
      <c r="B157" s="4" t="s">
        <v>110</v>
      </c>
      <c r="C157" s="4" t="s">
        <v>581</v>
      </c>
      <c r="D157" s="4" t="s">
        <v>557</v>
      </c>
      <c r="E157" s="4" t="s">
        <v>582</v>
      </c>
      <c r="F157" s="6">
        <v>50</v>
      </c>
      <c r="G157" s="21"/>
      <c r="H157" s="25">
        <f t="shared" si="2"/>
        <v>50</v>
      </c>
    </row>
    <row r="158" spans="1:10" x14ac:dyDescent="0.25">
      <c r="F158" s="5">
        <f>F157</f>
        <v>50</v>
      </c>
      <c r="H158" s="5">
        <f>H157</f>
        <v>50</v>
      </c>
      <c r="I158" s="5"/>
    </row>
    <row r="159" spans="1:10" x14ac:dyDescent="0.25">
      <c r="A159" s="22">
        <v>42263</v>
      </c>
      <c r="B159" s="4" t="s">
        <v>435</v>
      </c>
      <c r="C159" s="4" t="s">
        <v>592</v>
      </c>
      <c r="D159" s="4" t="s">
        <v>443</v>
      </c>
      <c r="E159" s="4" t="s">
        <v>593</v>
      </c>
      <c r="F159" s="5">
        <v>25735</v>
      </c>
      <c r="G159" s="20">
        <v>25735</v>
      </c>
      <c r="H159" s="19">
        <f t="shared" si="2"/>
        <v>0</v>
      </c>
    </row>
    <row r="160" spans="1:10" x14ac:dyDescent="0.25">
      <c r="B160" s="4" t="s">
        <v>594</v>
      </c>
      <c r="C160" s="4" t="s">
        <v>595</v>
      </c>
      <c r="D160" s="4" t="s">
        <v>443</v>
      </c>
      <c r="E160" s="4" t="s">
        <v>596</v>
      </c>
      <c r="F160" s="5">
        <v>140</v>
      </c>
      <c r="G160" s="20">
        <v>49.2</v>
      </c>
      <c r="H160" s="19">
        <f t="shared" si="2"/>
        <v>90.8</v>
      </c>
    </row>
    <row r="161" spans="1:10" ht="15" thickBot="1" x14ac:dyDescent="0.3">
      <c r="E161" s="4" t="s">
        <v>597</v>
      </c>
      <c r="F161" s="6">
        <v>35</v>
      </c>
      <c r="G161" s="21">
        <v>30.94</v>
      </c>
      <c r="H161" s="25">
        <f t="shared" si="2"/>
        <v>4.0599999999999987</v>
      </c>
    </row>
    <row r="162" spans="1:10" x14ac:dyDescent="0.25">
      <c r="F162" s="5">
        <f>SUM(F160:F161)</f>
        <v>175</v>
      </c>
      <c r="G162" s="5">
        <f>SUM(G160:G161)</f>
        <v>80.14</v>
      </c>
      <c r="H162" s="5">
        <f>SUM(H160:H161)</f>
        <v>94.86</v>
      </c>
      <c r="I162" s="50">
        <f>H162</f>
        <v>94.86</v>
      </c>
      <c r="J162" s="45" t="s">
        <v>941</v>
      </c>
    </row>
    <row r="163" spans="1:10" x14ac:dyDescent="0.25">
      <c r="A163" s="22">
        <v>42275</v>
      </c>
      <c r="B163" s="4" t="s">
        <v>354</v>
      </c>
      <c r="C163" s="4" t="s">
        <v>627</v>
      </c>
      <c r="D163" s="4" t="s">
        <v>443</v>
      </c>
      <c r="E163" s="4" t="s">
        <v>628</v>
      </c>
      <c r="F163" s="5">
        <v>600</v>
      </c>
      <c r="G163" s="20">
        <v>600</v>
      </c>
      <c r="H163" s="19">
        <f t="shared" si="2"/>
        <v>0</v>
      </c>
    </row>
    <row r="164" spans="1:10" x14ac:dyDescent="0.25">
      <c r="E164" s="4" t="s">
        <v>629</v>
      </c>
      <c r="F164" s="5">
        <v>300</v>
      </c>
      <c r="G164" s="20">
        <v>300</v>
      </c>
      <c r="H164" s="19">
        <f t="shared" si="2"/>
        <v>0</v>
      </c>
    </row>
    <row r="165" spans="1:10" x14ac:dyDescent="0.25">
      <c r="E165" s="4" t="s">
        <v>551</v>
      </c>
      <c r="F165" s="5">
        <v>600</v>
      </c>
      <c r="G165" s="20">
        <v>600</v>
      </c>
      <c r="H165" s="19">
        <f t="shared" si="2"/>
        <v>0</v>
      </c>
    </row>
    <row r="166" spans="1:10" x14ac:dyDescent="0.25">
      <c r="E166" s="4" t="s">
        <v>630</v>
      </c>
      <c r="F166" s="5">
        <v>1760</v>
      </c>
      <c r="G166" s="20">
        <v>1757.75</v>
      </c>
      <c r="H166" s="19">
        <f t="shared" si="2"/>
        <v>2.25</v>
      </c>
    </row>
    <row r="167" spans="1:10" ht="15" thickBot="1" x14ac:dyDescent="0.3">
      <c r="E167" s="4" t="s">
        <v>631</v>
      </c>
      <c r="F167" s="6">
        <v>5125</v>
      </c>
      <c r="G167" s="21">
        <v>5125</v>
      </c>
      <c r="H167" s="25">
        <f t="shared" si="2"/>
        <v>0</v>
      </c>
    </row>
    <row r="168" spans="1:10" x14ac:dyDescent="0.25">
      <c r="F168" s="5">
        <f>SUM(F163:F167)</f>
        <v>8385</v>
      </c>
      <c r="G168" s="5">
        <f>SUM(G163:G167)</f>
        <v>8382.75</v>
      </c>
      <c r="H168" s="5">
        <f>SUM(H163:H167)</f>
        <v>2.25</v>
      </c>
    </row>
    <row r="169" spans="1:10" x14ac:dyDescent="0.25">
      <c r="A169" s="22">
        <v>42277</v>
      </c>
      <c r="B169" s="4" t="s">
        <v>633</v>
      </c>
      <c r="C169" s="4" t="s">
        <v>634</v>
      </c>
      <c r="D169" s="4" t="s">
        <v>443</v>
      </c>
      <c r="E169" s="4" t="s">
        <v>635</v>
      </c>
      <c r="F169" s="5">
        <v>7500</v>
      </c>
      <c r="G169" s="20">
        <v>7500</v>
      </c>
      <c r="H169" s="19">
        <f t="shared" si="2"/>
        <v>0</v>
      </c>
    </row>
    <row r="170" spans="1:10" ht="15" thickBot="1" x14ac:dyDescent="0.3">
      <c r="E170" s="4" t="s">
        <v>636</v>
      </c>
      <c r="F170" s="6">
        <v>30</v>
      </c>
      <c r="G170" s="21">
        <v>30</v>
      </c>
      <c r="H170" s="25">
        <f t="shared" si="2"/>
        <v>0</v>
      </c>
    </row>
    <row r="171" spans="1:10" x14ac:dyDescent="0.25">
      <c r="E171" s="4" t="s">
        <v>539</v>
      </c>
      <c r="F171" s="5">
        <f>SUM(F169:F170)</f>
        <v>7530</v>
      </c>
      <c r="G171" s="5">
        <f>SUM(G169:G170)</f>
        <v>7530</v>
      </c>
      <c r="H171" s="5">
        <f>SUM(H169:H170)</f>
        <v>0</v>
      </c>
      <c r="I171" s="31">
        <f>H171</f>
        <v>0</v>
      </c>
      <c r="J171" s="45" t="s">
        <v>941</v>
      </c>
    </row>
    <row r="172" spans="1:10" ht="15" thickBot="1" x14ac:dyDescent="0.3">
      <c r="B172" s="4" t="s">
        <v>633</v>
      </c>
      <c r="C172" s="4" t="s">
        <v>637</v>
      </c>
      <c r="D172" s="4" t="s">
        <v>443</v>
      </c>
      <c r="E172" s="4" t="s">
        <v>638</v>
      </c>
      <c r="F172" s="6">
        <v>1000</v>
      </c>
      <c r="G172" s="21">
        <v>1000</v>
      </c>
      <c r="H172" s="25">
        <f t="shared" si="2"/>
        <v>0</v>
      </c>
    </row>
    <row r="173" spans="1:10" x14ac:dyDescent="0.25">
      <c r="F173" s="5">
        <f>SUM(F172)</f>
        <v>1000</v>
      </c>
      <c r="G173" s="5">
        <f>SUM(G172)</f>
        <v>1000</v>
      </c>
      <c r="H173" s="5">
        <f>SUM(H172)</f>
        <v>0</v>
      </c>
    </row>
    <row r="174" spans="1:10" x14ac:dyDescent="0.25">
      <c r="B174" s="4" t="s">
        <v>633</v>
      </c>
      <c r="C174" s="4" t="s">
        <v>639</v>
      </c>
      <c r="D174" s="4" t="s">
        <v>443</v>
      </c>
      <c r="E174" s="4" t="s">
        <v>640</v>
      </c>
      <c r="F174" s="5">
        <v>1500</v>
      </c>
      <c r="G174" s="20">
        <v>1500</v>
      </c>
      <c r="H174" s="19">
        <f t="shared" si="2"/>
        <v>0</v>
      </c>
    </row>
    <row r="175" spans="1:10" x14ac:dyDescent="0.25">
      <c r="E175" s="4" t="s">
        <v>636</v>
      </c>
      <c r="F175" s="5">
        <v>800</v>
      </c>
      <c r="G175" s="20">
        <v>800</v>
      </c>
      <c r="H175" s="19">
        <f t="shared" si="2"/>
        <v>0</v>
      </c>
    </row>
    <row r="176" spans="1:10" ht="15" thickBot="1" x14ac:dyDescent="0.3">
      <c r="E176" s="4" t="s">
        <v>641</v>
      </c>
      <c r="F176" s="25">
        <v>200</v>
      </c>
      <c r="G176" s="25"/>
      <c r="H176" s="25">
        <f t="shared" ref="H176" si="3">IFERROR(F176-G176, " ")</f>
        <v>200</v>
      </c>
      <c r="I176" s="31">
        <f>H176</f>
        <v>200</v>
      </c>
      <c r="J176" s="45" t="s">
        <v>941</v>
      </c>
    </row>
    <row r="177" spans="2:10" x14ac:dyDescent="0.25">
      <c r="F177" s="5">
        <f>SUM(F174:F176)</f>
        <v>2500</v>
      </c>
      <c r="G177" s="5">
        <f>SUM(G174:G176)</f>
        <v>2300</v>
      </c>
      <c r="H177" s="5">
        <f>SUM(H174:H176)</f>
        <v>200</v>
      </c>
    </row>
    <row r="178" spans="2:10" x14ac:dyDescent="0.25">
      <c r="B178" s="4" t="s">
        <v>633</v>
      </c>
      <c r="C178" s="4" t="s">
        <v>642</v>
      </c>
      <c r="D178" s="4" t="s">
        <v>443</v>
      </c>
      <c r="E178" s="4" t="s">
        <v>643</v>
      </c>
      <c r="F178" s="5">
        <v>150</v>
      </c>
      <c r="G178" s="20">
        <v>150</v>
      </c>
      <c r="H178" s="19">
        <f t="shared" ref="H178:H222" si="4">IFERROR(F178-G178, " ")</f>
        <v>0</v>
      </c>
    </row>
    <row r="179" spans="2:10" ht="15" thickBot="1" x14ac:dyDescent="0.3">
      <c r="E179" s="4" t="s">
        <v>641</v>
      </c>
      <c r="F179" s="6">
        <v>200</v>
      </c>
      <c r="G179" s="21"/>
      <c r="H179" s="25">
        <f t="shared" si="4"/>
        <v>200</v>
      </c>
    </row>
    <row r="180" spans="2:10" x14ac:dyDescent="0.25">
      <c r="F180" s="5">
        <f>SUM(F178:F179)</f>
        <v>350</v>
      </c>
      <c r="G180" s="5">
        <f>SUM(G178:G179)</f>
        <v>150</v>
      </c>
      <c r="H180" s="5">
        <f>SUM(H178:H179)</f>
        <v>200</v>
      </c>
    </row>
    <row r="181" spans="2:10" x14ac:dyDescent="0.25">
      <c r="B181" s="4" t="s">
        <v>110</v>
      </c>
      <c r="C181" s="4" t="s">
        <v>644</v>
      </c>
      <c r="D181" s="4" t="s">
        <v>443</v>
      </c>
      <c r="E181" s="4" t="s">
        <v>645</v>
      </c>
      <c r="F181" s="5">
        <v>5000</v>
      </c>
      <c r="G181" s="20">
        <v>4514</v>
      </c>
      <c r="H181" s="19">
        <f t="shared" si="4"/>
        <v>486</v>
      </c>
    </row>
    <row r="182" spans="2:10" x14ac:dyDescent="0.25">
      <c r="E182" s="4" t="s">
        <v>646</v>
      </c>
      <c r="F182" s="5">
        <v>417</v>
      </c>
      <c r="G182" s="20">
        <v>356</v>
      </c>
      <c r="H182" s="19">
        <f t="shared" si="4"/>
        <v>61</v>
      </c>
    </row>
    <row r="183" spans="2:10" x14ac:dyDescent="0.25">
      <c r="E183" s="4" t="s">
        <v>191</v>
      </c>
      <c r="F183" s="5">
        <v>2450</v>
      </c>
      <c r="H183" s="19">
        <f t="shared" si="4"/>
        <v>2450</v>
      </c>
    </row>
    <row r="184" spans="2:10" x14ac:dyDescent="0.25">
      <c r="E184" s="4" t="s">
        <v>647</v>
      </c>
      <c r="F184" s="5">
        <v>200</v>
      </c>
      <c r="G184" s="20">
        <v>200</v>
      </c>
      <c r="H184" s="19">
        <f t="shared" si="4"/>
        <v>0</v>
      </c>
    </row>
    <row r="185" spans="2:10" ht="15" thickBot="1" x14ac:dyDescent="0.3">
      <c r="E185" s="4" t="s">
        <v>648</v>
      </c>
      <c r="F185" s="6">
        <v>200</v>
      </c>
      <c r="G185" s="21">
        <v>200</v>
      </c>
      <c r="H185" s="25">
        <f t="shared" si="4"/>
        <v>0</v>
      </c>
    </row>
    <row r="186" spans="2:10" x14ac:dyDescent="0.25">
      <c r="F186" s="5">
        <f>SUM(F181:F185)</f>
        <v>8267</v>
      </c>
      <c r="G186" s="5">
        <f>SUM(G181:G185)</f>
        <v>5270</v>
      </c>
      <c r="H186" s="5">
        <f>SUM(H181:H185)</f>
        <v>2997</v>
      </c>
      <c r="I186" s="31">
        <f>H181+H182</f>
        <v>547</v>
      </c>
      <c r="J186" s="45" t="s">
        <v>941</v>
      </c>
    </row>
    <row r="187" spans="2:10" ht="15" thickBot="1" x14ac:dyDescent="0.3">
      <c r="B187" s="4" t="s">
        <v>649</v>
      </c>
      <c r="C187" s="4" t="s">
        <v>650</v>
      </c>
      <c r="D187" s="4" t="s">
        <v>651</v>
      </c>
      <c r="E187" s="4" t="s">
        <v>652</v>
      </c>
      <c r="F187" s="6">
        <v>1840</v>
      </c>
      <c r="G187" s="21">
        <v>889</v>
      </c>
      <c r="H187" s="25">
        <f t="shared" si="4"/>
        <v>951</v>
      </c>
    </row>
    <row r="188" spans="2:10" x14ac:dyDescent="0.25">
      <c r="F188" s="5">
        <f>SUM(F187)</f>
        <v>1840</v>
      </c>
      <c r="G188" s="5">
        <f>SUM(G187)</f>
        <v>889</v>
      </c>
      <c r="H188" s="5">
        <f>SUM(H187)</f>
        <v>951</v>
      </c>
    </row>
    <row r="189" spans="2:10" x14ac:dyDescent="0.25">
      <c r="B189" s="4" t="s">
        <v>23</v>
      </c>
      <c r="C189" s="4" t="s">
        <v>653</v>
      </c>
      <c r="D189" s="4" t="s">
        <v>443</v>
      </c>
      <c r="E189" s="4" t="s">
        <v>654</v>
      </c>
      <c r="F189" s="5">
        <v>1150</v>
      </c>
      <c r="G189" s="20">
        <f>105</f>
        <v>105</v>
      </c>
      <c r="H189" s="19">
        <f t="shared" si="4"/>
        <v>1045</v>
      </c>
    </row>
    <row r="190" spans="2:10" x14ac:dyDescent="0.25">
      <c r="E190" s="4" t="s">
        <v>32</v>
      </c>
      <c r="F190" s="5">
        <v>400</v>
      </c>
      <c r="G190" s="20">
        <f>65.19+40+6.99+21.57+9.98</f>
        <v>143.72999999999999</v>
      </c>
      <c r="H190" s="19">
        <f t="shared" si="4"/>
        <v>256.27</v>
      </c>
    </row>
    <row r="191" spans="2:10" x14ac:dyDescent="0.25">
      <c r="E191" s="4" t="s">
        <v>33</v>
      </c>
      <c r="F191" s="5">
        <v>500</v>
      </c>
      <c r="G191" s="20">
        <f>241.45+28.98</f>
        <v>270.43</v>
      </c>
      <c r="H191" s="19">
        <f t="shared" si="4"/>
        <v>229.57</v>
      </c>
    </row>
    <row r="192" spans="2:10" x14ac:dyDescent="0.25">
      <c r="E192" s="4" t="s">
        <v>655</v>
      </c>
      <c r="F192" s="5">
        <v>400</v>
      </c>
      <c r="G192" s="20">
        <f>126.4</f>
        <v>126.4</v>
      </c>
      <c r="H192" s="19">
        <f t="shared" si="4"/>
        <v>273.60000000000002</v>
      </c>
    </row>
    <row r="193" spans="2:10" x14ac:dyDescent="0.25">
      <c r="E193" s="4" t="s">
        <v>656</v>
      </c>
      <c r="F193" s="32">
        <v>525</v>
      </c>
      <c r="G193" s="33"/>
      <c r="H193" s="33">
        <f t="shared" si="4"/>
        <v>525</v>
      </c>
    </row>
    <row r="194" spans="2:10" ht="15" thickBot="1" x14ac:dyDescent="0.3">
      <c r="E194" s="4" t="s">
        <v>657</v>
      </c>
      <c r="F194" s="6">
        <v>-720</v>
      </c>
      <c r="G194" s="21"/>
      <c r="H194" s="21">
        <f t="shared" si="4"/>
        <v>-720</v>
      </c>
    </row>
    <row r="195" spans="2:10" x14ac:dyDescent="0.25">
      <c r="F195" s="5">
        <f>SUM(F189:F194)</f>
        <v>2255</v>
      </c>
      <c r="G195" s="5">
        <f>SUM(G189:G193)</f>
        <v>645.55999999999995</v>
      </c>
      <c r="H195" s="5">
        <f>SUM(H189:H193)</f>
        <v>2329.44</v>
      </c>
      <c r="I195" s="31">
        <f>H189+H190+H191+H192</f>
        <v>1804.44</v>
      </c>
      <c r="J195" s="45" t="s">
        <v>941</v>
      </c>
    </row>
    <row r="196" spans="2:10" ht="15" thickBot="1" x14ac:dyDescent="0.3">
      <c r="B196" s="4" t="s">
        <v>658</v>
      </c>
      <c r="C196" s="4" t="s">
        <v>659</v>
      </c>
      <c r="D196" s="4" t="s">
        <v>443</v>
      </c>
      <c r="E196" s="4" t="s">
        <v>186</v>
      </c>
      <c r="F196" s="6">
        <v>842.5</v>
      </c>
      <c r="G196" s="21">
        <v>842.5</v>
      </c>
      <c r="H196" s="21">
        <f t="shared" si="4"/>
        <v>0</v>
      </c>
    </row>
    <row r="197" spans="2:10" x14ac:dyDescent="0.25">
      <c r="F197" s="5">
        <f>SUM(F196)</f>
        <v>842.5</v>
      </c>
      <c r="G197" s="5">
        <f>SUM(G196)</f>
        <v>842.5</v>
      </c>
      <c r="H197" s="5">
        <f>SUM(H196)</f>
        <v>0</v>
      </c>
    </row>
    <row r="198" spans="2:10" x14ac:dyDescent="0.25">
      <c r="B198" s="4" t="s">
        <v>414</v>
      </c>
      <c r="C198" s="4" t="s">
        <v>660</v>
      </c>
      <c r="D198" s="4" t="s">
        <v>443</v>
      </c>
      <c r="E198" s="4" t="s">
        <v>661</v>
      </c>
      <c r="F198" s="5">
        <v>50.88</v>
      </c>
      <c r="H198" s="19">
        <f t="shared" si="4"/>
        <v>50.88</v>
      </c>
    </row>
    <row r="199" spans="2:10" ht="15" thickBot="1" x14ac:dyDescent="0.3">
      <c r="E199" s="4" t="s">
        <v>496</v>
      </c>
      <c r="F199" s="6">
        <v>100</v>
      </c>
      <c r="G199" s="21"/>
      <c r="H199" s="25">
        <f t="shared" si="4"/>
        <v>100</v>
      </c>
    </row>
    <row r="200" spans="2:10" x14ac:dyDescent="0.25">
      <c r="F200" s="5">
        <f>SUM(F198:F199)</f>
        <v>150.88</v>
      </c>
      <c r="G200" s="5">
        <f>SUM(G198:G199)</f>
        <v>0</v>
      </c>
      <c r="H200" s="5">
        <f>SUM(H198:H199)</f>
        <v>150.88</v>
      </c>
    </row>
    <row r="201" spans="2:10" x14ac:dyDescent="0.25">
      <c r="B201" s="4" t="s">
        <v>122</v>
      </c>
      <c r="C201" s="4" t="s">
        <v>662</v>
      </c>
      <c r="D201" s="4" t="s">
        <v>443</v>
      </c>
      <c r="E201" s="4" t="s">
        <v>663</v>
      </c>
      <c r="F201" s="5">
        <v>5400</v>
      </c>
      <c r="G201" s="20">
        <v>5400</v>
      </c>
      <c r="H201" s="19">
        <f t="shared" si="4"/>
        <v>0</v>
      </c>
    </row>
    <row r="202" spans="2:10" x14ac:dyDescent="0.25">
      <c r="E202" s="4" t="s">
        <v>664</v>
      </c>
      <c r="F202" s="5">
        <v>5120</v>
      </c>
      <c r="G202" s="20">
        <v>5120</v>
      </c>
      <c r="H202" s="19">
        <f t="shared" si="4"/>
        <v>0</v>
      </c>
    </row>
    <row r="203" spans="2:10" x14ac:dyDescent="0.25">
      <c r="E203" s="4" t="s">
        <v>665</v>
      </c>
      <c r="F203" s="5">
        <v>2000</v>
      </c>
      <c r="G203" s="20">
        <v>1965</v>
      </c>
      <c r="H203" s="19">
        <f t="shared" si="4"/>
        <v>35</v>
      </c>
    </row>
    <row r="204" spans="2:10" x14ac:dyDescent="0.25">
      <c r="E204" s="4" t="s">
        <v>666</v>
      </c>
      <c r="F204" s="5">
        <v>1000</v>
      </c>
      <c r="G204" s="20">
        <v>1000</v>
      </c>
      <c r="H204" s="19">
        <f t="shared" si="4"/>
        <v>0</v>
      </c>
    </row>
    <row r="205" spans="2:10" x14ac:dyDescent="0.25">
      <c r="E205" s="4" t="s">
        <v>667</v>
      </c>
      <c r="F205" s="5">
        <v>928</v>
      </c>
      <c r="H205" s="19">
        <f t="shared" si="4"/>
        <v>928</v>
      </c>
    </row>
    <row r="206" spans="2:10" x14ac:dyDescent="0.25">
      <c r="E206" s="4" t="s">
        <v>668</v>
      </c>
      <c r="F206" s="5">
        <v>950</v>
      </c>
      <c r="G206" s="20">
        <v>925</v>
      </c>
      <c r="H206" s="19">
        <f t="shared" si="4"/>
        <v>25</v>
      </c>
    </row>
    <row r="207" spans="2:10" x14ac:dyDescent="0.25">
      <c r="E207" s="4" t="s">
        <v>478</v>
      </c>
      <c r="F207" s="5">
        <v>550</v>
      </c>
      <c r="H207" s="19">
        <f t="shared" si="4"/>
        <v>550</v>
      </c>
    </row>
    <row r="208" spans="2:10" x14ac:dyDescent="0.25">
      <c r="E208" s="4" t="s">
        <v>669</v>
      </c>
      <c r="F208" s="5">
        <v>469</v>
      </c>
      <c r="G208" s="20">
        <f>431.35+77.25-63.74</f>
        <v>444.86</v>
      </c>
      <c r="H208" s="19">
        <f t="shared" si="4"/>
        <v>24.139999999999986</v>
      </c>
    </row>
    <row r="209" spans="2:10" x14ac:dyDescent="0.25">
      <c r="E209" s="4" t="s">
        <v>622</v>
      </c>
      <c r="F209" s="5">
        <v>360</v>
      </c>
      <c r="H209" s="19">
        <f t="shared" si="4"/>
        <v>360</v>
      </c>
    </row>
    <row r="210" spans="2:10" x14ac:dyDescent="0.25">
      <c r="E210" s="4" t="s">
        <v>188</v>
      </c>
      <c r="F210" s="5">
        <v>285</v>
      </c>
      <c r="G210" s="20">
        <f>11.49+22.98+11.49+11.45+11.45+11.45+11.49+11.49+11.49+11.49+15.99</f>
        <v>142.26</v>
      </c>
      <c r="H210" s="19">
        <f t="shared" si="4"/>
        <v>142.74</v>
      </c>
    </row>
    <row r="211" spans="2:10" x14ac:dyDescent="0.25">
      <c r="E211" s="4" t="s">
        <v>671</v>
      </c>
      <c r="F211" s="5">
        <v>256</v>
      </c>
      <c r="H211" s="19">
        <f t="shared" si="4"/>
        <v>256</v>
      </c>
    </row>
    <row r="212" spans="2:10" x14ac:dyDescent="0.25">
      <c r="E212" s="4" t="s">
        <v>670</v>
      </c>
      <c r="F212" s="5">
        <v>250</v>
      </c>
      <c r="G212" s="20">
        <v>197.26</v>
      </c>
      <c r="H212" s="19">
        <f t="shared" si="4"/>
        <v>52.740000000000009</v>
      </c>
    </row>
    <row r="213" spans="2:10" x14ac:dyDescent="0.25">
      <c r="E213" s="4" t="s">
        <v>356</v>
      </c>
      <c r="F213" s="5">
        <v>185</v>
      </c>
      <c r="G213" s="20">
        <f>6.99+6.99+0.49+6.99+6.99+231.28-74.73</f>
        <v>185</v>
      </c>
      <c r="H213" s="19">
        <f t="shared" si="4"/>
        <v>0</v>
      </c>
    </row>
    <row r="214" spans="2:10" x14ac:dyDescent="0.25">
      <c r="E214" s="4" t="s">
        <v>672</v>
      </c>
      <c r="F214" s="5">
        <v>100</v>
      </c>
      <c r="H214" s="19">
        <f t="shared" si="4"/>
        <v>100</v>
      </c>
      <c r="I214" s="45" t="s">
        <v>959</v>
      </c>
    </row>
    <row r="215" spans="2:10" x14ac:dyDescent="0.25">
      <c r="E215" s="4" t="s">
        <v>673</v>
      </c>
      <c r="F215" s="5">
        <v>100</v>
      </c>
      <c r="H215" s="19">
        <f t="shared" si="4"/>
        <v>100</v>
      </c>
    </row>
    <row r="216" spans="2:10" x14ac:dyDescent="0.25">
      <c r="E216" s="4" t="s">
        <v>674</v>
      </c>
      <c r="F216" s="5">
        <v>80</v>
      </c>
      <c r="H216" s="19">
        <f t="shared" si="4"/>
        <v>80</v>
      </c>
    </row>
    <row r="217" spans="2:10" ht="15" thickBot="1" x14ac:dyDescent="0.3">
      <c r="E217" s="4" t="s">
        <v>551</v>
      </c>
      <c r="F217" s="6">
        <v>70</v>
      </c>
      <c r="G217" s="21">
        <f>63.74</f>
        <v>63.74</v>
      </c>
      <c r="H217" s="25">
        <f t="shared" si="4"/>
        <v>6.259999999999998</v>
      </c>
    </row>
    <row r="218" spans="2:10" x14ac:dyDescent="0.25">
      <c r="F218" s="5">
        <f>SUM(F201:F217)</f>
        <v>18103</v>
      </c>
      <c r="G218" s="5">
        <f>SUM(G201:G217)</f>
        <v>15443.12</v>
      </c>
      <c r="H218" s="5">
        <f>SUM(H201:H217)</f>
        <v>2659.88</v>
      </c>
    </row>
    <row r="219" spans="2:10" x14ac:dyDescent="0.25">
      <c r="B219" s="4" t="s">
        <v>7</v>
      </c>
      <c r="C219" s="4" t="s">
        <v>675</v>
      </c>
      <c r="D219" s="4" t="s">
        <v>557</v>
      </c>
      <c r="E219" s="4" t="s">
        <v>191</v>
      </c>
      <c r="F219" s="5">
        <f>4144+411</f>
        <v>4555</v>
      </c>
      <c r="G219" s="20">
        <f>640+1230+749.1+800+840+37.98</f>
        <v>4297.08</v>
      </c>
      <c r="H219" s="19">
        <f t="shared" si="4"/>
        <v>257.92000000000007</v>
      </c>
    </row>
    <row r="220" spans="2:10" x14ac:dyDescent="0.25">
      <c r="E220" s="4" t="s">
        <v>387</v>
      </c>
      <c r="F220" s="5">
        <v>235</v>
      </c>
      <c r="G220" s="20">
        <f>62.33+38.21+86.42+10</f>
        <v>196.95999999999998</v>
      </c>
      <c r="H220" s="19">
        <f t="shared" si="4"/>
        <v>38.04000000000002</v>
      </c>
    </row>
    <row r="221" spans="2:10" x14ac:dyDescent="0.25">
      <c r="E221" s="4" t="s">
        <v>676</v>
      </c>
      <c r="F221" s="32">
        <v>323</v>
      </c>
      <c r="G221" s="33">
        <f>215.47+15.01</f>
        <v>230.48</v>
      </c>
      <c r="H221" s="34">
        <f t="shared" si="4"/>
        <v>92.52000000000001</v>
      </c>
    </row>
    <row r="222" spans="2:10" x14ac:dyDescent="0.25">
      <c r="E222" s="4" t="s">
        <v>677</v>
      </c>
      <c r="F222" s="32">
        <v>-690</v>
      </c>
      <c r="G222" s="33"/>
      <c r="H222" s="34">
        <f t="shared" si="4"/>
        <v>-690</v>
      </c>
    </row>
    <row r="223" spans="2:10" ht="15" thickBot="1" x14ac:dyDescent="0.3">
      <c r="E223" s="4" t="s">
        <v>678</v>
      </c>
      <c r="F223" s="6">
        <v>-75</v>
      </c>
      <c r="G223" s="21"/>
      <c r="H223" s="6">
        <v>-75</v>
      </c>
    </row>
    <row r="224" spans="2:10" x14ac:dyDescent="0.25">
      <c r="F224" s="5">
        <f>SUM(F219:F223)</f>
        <v>4348</v>
      </c>
      <c r="G224" s="5">
        <f>SUM(G219:G221)</f>
        <v>4724.5199999999995</v>
      </c>
      <c r="H224" s="5">
        <f>SUM(H219:H223)</f>
        <v>-376.51999999999987</v>
      </c>
      <c r="I224" s="31">
        <f>H219+H220+H221</f>
        <v>388.48000000000013</v>
      </c>
      <c r="J224" s="45" t="s">
        <v>941</v>
      </c>
    </row>
    <row r="225" spans="1:10" ht="15" thickBot="1" x14ac:dyDescent="0.3">
      <c r="B225" s="4" t="s">
        <v>120</v>
      </c>
      <c r="C225" s="4" t="s">
        <v>679</v>
      </c>
      <c r="D225" s="4" t="s">
        <v>557</v>
      </c>
      <c r="E225" s="4" t="s">
        <v>186</v>
      </c>
      <c r="F225" s="6">
        <v>1503.36</v>
      </c>
      <c r="G225" s="21">
        <v>1328.9</v>
      </c>
      <c r="H225" s="6">
        <v>1503.36</v>
      </c>
    </row>
    <row r="226" spans="1:10" x14ac:dyDescent="0.25">
      <c r="F226" s="5">
        <f>SUM(F225)</f>
        <v>1503.36</v>
      </c>
      <c r="G226" s="5">
        <f>SUM(G225)</f>
        <v>1328.9</v>
      </c>
      <c r="H226" s="5">
        <f>SUM(H225)</f>
        <v>1503.36</v>
      </c>
    </row>
    <row r="228" spans="1:10" x14ac:dyDescent="0.25">
      <c r="A228" s="22">
        <v>42284</v>
      </c>
      <c r="B228" s="4" t="s">
        <v>354</v>
      </c>
      <c r="C228" s="4" t="s">
        <v>703</v>
      </c>
      <c r="D228" s="4" t="s">
        <v>443</v>
      </c>
      <c r="E228" s="4" t="s">
        <v>704</v>
      </c>
      <c r="F228" s="5">
        <f>6635+2715</f>
        <v>9350</v>
      </c>
      <c r="G228" s="20">
        <v>9350</v>
      </c>
      <c r="H228" s="34">
        <f t="shared" ref="H228:H346" si="5">IFERROR(F228-G228, " ")</f>
        <v>0</v>
      </c>
    </row>
    <row r="229" spans="1:10" x14ac:dyDescent="0.25">
      <c r="E229" s="4" t="s">
        <v>705</v>
      </c>
      <c r="F229" s="5">
        <v>550</v>
      </c>
      <c r="G229" s="20">
        <v>550</v>
      </c>
      <c r="H229" s="34">
        <f t="shared" si="5"/>
        <v>0</v>
      </c>
    </row>
    <row r="230" spans="1:10" x14ac:dyDescent="0.25">
      <c r="E230" s="4" t="s">
        <v>706</v>
      </c>
      <c r="F230" s="5">
        <v>700</v>
      </c>
      <c r="G230" s="20">
        <v>700</v>
      </c>
      <c r="H230" s="34">
        <f t="shared" si="5"/>
        <v>0</v>
      </c>
    </row>
    <row r="231" spans="1:10" x14ac:dyDescent="0.25">
      <c r="E231" s="4" t="s">
        <v>53</v>
      </c>
      <c r="F231" s="5">
        <v>29.9</v>
      </c>
      <c r="H231" s="34">
        <f t="shared" si="5"/>
        <v>29.9</v>
      </c>
    </row>
    <row r="232" spans="1:10" ht="15" thickBot="1" x14ac:dyDescent="0.3">
      <c r="E232" s="4" t="s">
        <v>707</v>
      </c>
      <c r="F232" s="6">
        <v>179.97</v>
      </c>
      <c r="G232" s="21"/>
      <c r="H232" s="21">
        <f t="shared" si="5"/>
        <v>179.97</v>
      </c>
    </row>
    <row r="233" spans="1:10" x14ac:dyDescent="0.25">
      <c r="F233" s="5">
        <f>SUM(F228:F232)</f>
        <v>10809.869999999999</v>
      </c>
      <c r="G233" s="5">
        <f>SUM(G228:G232)</f>
        <v>10600</v>
      </c>
      <c r="H233" s="5">
        <f>SUM(H228:H232)</f>
        <v>209.87</v>
      </c>
      <c r="I233" s="31">
        <f>H233</f>
        <v>209.87</v>
      </c>
      <c r="J233" s="45" t="s">
        <v>941</v>
      </c>
    </row>
    <row r="234" spans="1:10" x14ac:dyDescent="0.25">
      <c r="B234" s="4" t="s">
        <v>402</v>
      </c>
      <c r="C234" s="4" t="s">
        <v>708</v>
      </c>
      <c r="D234" s="4" t="s">
        <v>443</v>
      </c>
      <c r="E234" s="4" t="s">
        <v>191</v>
      </c>
      <c r="F234" s="5">
        <v>65.599999999999994</v>
      </c>
      <c r="G234" s="20">
        <f>60.2</f>
        <v>60.2</v>
      </c>
      <c r="H234" s="34">
        <f t="shared" si="5"/>
        <v>5.3999999999999915</v>
      </c>
    </row>
    <row r="235" spans="1:10" ht="15" thickBot="1" x14ac:dyDescent="0.3">
      <c r="E235" s="4" t="s">
        <v>709</v>
      </c>
      <c r="F235" s="6">
        <v>124.4</v>
      </c>
      <c r="G235" s="21">
        <f>42.85+49.96</f>
        <v>92.81</v>
      </c>
      <c r="H235" s="25">
        <f t="shared" si="5"/>
        <v>31.590000000000003</v>
      </c>
    </row>
    <row r="236" spans="1:10" x14ac:dyDescent="0.25">
      <c r="F236" s="5">
        <f>SUM(F234:F235)</f>
        <v>190</v>
      </c>
      <c r="G236" s="5">
        <f>SUM(G234:G235)</f>
        <v>153.01</v>
      </c>
      <c r="H236" s="5">
        <f>SUM(H234:H235)</f>
        <v>36.989999999999995</v>
      </c>
    </row>
    <row r="237" spans="1:10" x14ac:dyDescent="0.25">
      <c r="B237" s="4" t="s">
        <v>710</v>
      </c>
      <c r="C237" s="4" t="s">
        <v>711</v>
      </c>
      <c r="D237" s="4" t="s">
        <v>443</v>
      </c>
      <c r="E237" s="4" t="s">
        <v>712</v>
      </c>
      <c r="F237" s="5">
        <v>69.98</v>
      </c>
      <c r="G237" s="20">
        <v>34.99</v>
      </c>
      <c r="H237" s="34">
        <f t="shared" si="5"/>
        <v>34.99</v>
      </c>
    </row>
    <row r="238" spans="1:10" x14ac:dyDescent="0.25">
      <c r="E238" s="4" t="s">
        <v>713</v>
      </c>
      <c r="F238" s="5">
        <v>63.58</v>
      </c>
      <c r="G238" s="20">
        <v>63.58</v>
      </c>
      <c r="H238" s="34">
        <f t="shared" si="5"/>
        <v>0</v>
      </c>
    </row>
    <row r="239" spans="1:10" x14ac:dyDescent="0.25">
      <c r="E239" s="4" t="s">
        <v>714</v>
      </c>
      <c r="F239" s="5">
        <v>11.99</v>
      </c>
      <c r="G239" s="20">
        <v>11.99</v>
      </c>
      <c r="H239" s="34">
        <f t="shared" si="5"/>
        <v>0</v>
      </c>
    </row>
    <row r="240" spans="1:10" x14ac:dyDescent="0.25">
      <c r="E240" s="4" t="s">
        <v>715</v>
      </c>
      <c r="F240" s="5">
        <v>7.76</v>
      </c>
      <c r="G240" s="20">
        <v>7.76</v>
      </c>
      <c r="H240" s="34">
        <f t="shared" si="5"/>
        <v>0</v>
      </c>
    </row>
    <row r="241" spans="2:10" x14ac:dyDescent="0.25">
      <c r="E241" s="4" t="s">
        <v>301</v>
      </c>
      <c r="F241" s="5">
        <v>3.9</v>
      </c>
      <c r="G241" s="20">
        <v>3.9</v>
      </c>
      <c r="H241" s="34">
        <f t="shared" si="5"/>
        <v>0</v>
      </c>
    </row>
    <row r="242" spans="2:10" x14ac:dyDescent="0.25">
      <c r="E242" s="4" t="s">
        <v>716</v>
      </c>
      <c r="F242" s="5">
        <v>53.98</v>
      </c>
      <c r="G242" s="20">
        <v>53.98</v>
      </c>
      <c r="H242" s="34">
        <f t="shared" si="5"/>
        <v>0</v>
      </c>
    </row>
    <row r="243" spans="2:10" x14ac:dyDescent="0.25">
      <c r="E243" s="4" t="s">
        <v>717</v>
      </c>
      <c r="F243" s="5">
        <v>14.32</v>
      </c>
      <c r="G243" s="20">
        <v>14.32</v>
      </c>
      <c r="H243" s="34">
        <f t="shared" si="5"/>
        <v>0</v>
      </c>
    </row>
    <row r="244" spans="2:10" ht="15" thickBot="1" x14ac:dyDescent="0.3">
      <c r="E244" s="4" t="s">
        <v>718</v>
      </c>
      <c r="F244" s="6">
        <v>30</v>
      </c>
      <c r="G244" s="21"/>
      <c r="H244" s="21">
        <f t="shared" si="5"/>
        <v>30</v>
      </c>
    </row>
    <row r="245" spans="2:10" x14ac:dyDescent="0.25">
      <c r="F245" s="5">
        <f>SUM(F237:F244)</f>
        <v>255.51</v>
      </c>
      <c r="G245" s="5">
        <f>SUM(G237:G244)</f>
        <v>190.51999999999998</v>
      </c>
      <c r="H245" s="5">
        <f>SUM(H237:H244)</f>
        <v>64.990000000000009</v>
      </c>
    </row>
    <row r="246" spans="2:10" x14ac:dyDescent="0.25">
      <c r="B246" s="4" t="s">
        <v>122</v>
      </c>
      <c r="C246" s="4" t="s">
        <v>719</v>
      </c>
      <c r="D246" s="4" t="s">
        <v>443</v>
      </c>
      <c r="E246" s="4" t="s">
        <v>719</v>
      </c>
      <c r="F246" s="5">
        <v>12500</v>
      </c>
      <c r="G246" s="20">
        <v>12500</v>
      </c>
      <c r="H246" s="34">
        <f t="shared" si="5"/>
        <v>0</v>
      </c>
    </row>
    <row r="247" spans="2:10" x14ac:dyDescent="0.25">
      <c r="E247" s="4" t="s">
        <v>720</v>
      </c>
      <c r="F247" s="5">
        <v>600</v>
      </c>
      <c r="H247" s="34">
        <f t="shared" si="5"/>
        <v>600</v>
      </c>
    </row>
    <row r="248" spans="2:10" x14ac:dyDescent="0.25">
      <c r="E248" s="4" t="s">
        <v>454</v>
      </c>
      <c r="F248" s="5">
        <v>520</v>
      </c>
      <c r="H248" s="34">
        <f t="shared" si="5"/>
        <v>520</v>
      </c>
    </row>
    <row r="249" spans="2:10" x14ac:dyDescent="0.25">
      <c r="E249" s="4" t="s">
        <v>146</v>
      </c>
      <c r="F249" s="5">
        <v>100</v>
      </c>
      <c r="G249" s="20">
        <f>78.81</f>
        <v>78.81</v>
      </c>
      <c r="H249" s="34">
        <f t="shared" si="5"/>
        <v>21.189999999999998</v>
      </c>
    </row>
    <row r="250" spans="2:10" ht="15" thickBot="1" x14ac:dyDescent="0.3">
      <c r="E250" s="4" t="s">
        <v>721</v>
      </c>
      <c r="F250" s="6">
        <v>50</v>
      </c>
      <c r="G250" s="21"/>
      <c r="H250" s="25">
        <f t="shared" si="5"/>
        <v>50</v>
      </c>
    </row>
    <row r="251" spans="2:10" x14ac:dyDescent="0.25">
      <c r="F251" s="5">
        <f>SUM(F246:F250)</f>
        <v>13770</v>
      </c>
      <c r="G251" s="5">
        <f>SUM(G246:G250)</f>
        <v>12578.81</v>
      </c>
      <c r="H251" s="5">
        <f>SUM(H246:H250)</f>
        <v>1191.19</v>
      </c>
      <c r="I251" s="31">
        <f>H249+H250</f>
        <v>71.19</v>
      </c>
      <c r="J251" s="45" t="s">
        <v>941</v>
      </c>
    </row>
    <row r="252" spans="2:10" x14ac:dyDescent="0.25">
      <c r="B252" s="4" t="s">
        <v>122</v>
      </c>
      <c r="C252" s="4" t="s">
        <v>722</v>
      </c>
      <c r="D252" s="4" t="s">
        <v>443</v>
      </c>
      <c r="E252" s="4" t="s">
        <v>32</v>
      </c>
      <c r="F252" s="5">
        <v>525</v>
      </c>
      <c r="G252" s="20">
        <v>502.43</v>
      </c>
      <c r="H252" s="34">
        <f t="shared" si="5"/>
        <v>22.569999999999993</v>
      </c>
    </row>
    <row r="253" spans="2:10" x14ac:dyDescent="0.25">
      <c r="E253" s="4" t="s">
        <v>723</v>
      </c>
      <c r="F253" s="5">
        <v>175</v>
      </c>
      <c r="G253" s="20">
        <f>90.49+84.51</f>
        <v>175</v>
      </c>
      <c r="H253" s="34">
        <f t="shared" si="5"/>
        <v>0</v>
      </c>
    </row>
    <row r="254" spans="2:10" x14ac:dyDescent="0.25">
      <c r="E254" s="4" t="s">
        <v>709</v>
      </c>
      <c r="F254" s="5">
        <v>50</v>
      </c>
      <c r="G254" s="20">
        <f>33.5</f>
        <v>33.5</v>
      </c>
      <c r="H254" s="34">
        <f t="shared" si="5"/>
        <v>16.5</v>
      </c>
    </row>
    <row r="255" spans="2:10" ht="15" thickBot="1" x14ac:dyDescent="0.3">
      <c r="E255" s="4" t="s">
        <v>33</v>
      </c>
      <c r="F255" s="6">
        <v>200</v>
      </c>
      <c r="G255" s="21">
        <f>99.8+8.85+8.94+19.99+50.99</f>
        <v>188.57</v>
      </c>
      <c r="H255" s="25">
        <f t="shared" si="5"/>
        <v>11.430000000000007</v>
      </c>
    </row>
    <row r="256" spans="2:10" x14ac:dyDescent="0.25">
      <c r="F256" s="5">
        <f>SUM(F252:F255)</f>
        <v>950</v>
      </c>
      <c r="G256" s="5">
        <f>SUM(G252:G255)</f>
        <v>899.5</v>
      </c>
      <c r="H256" s="5">
        <f>SUM(H252:H255)</f>
        <v>50.5</v>
      </c>
      <c r="I256" s="31">
        <f>H256</f>
        <v>50.5</v>
      </c>
      <c r="J256" s="45" t="s">
        <v>941</v>
      </c>
    </row>
    <row r="257" spans="2:10" x14ac:dyDescent="0.25">
      <c r="B257" s="4" t="s">
        <v>122</v>
      </c>
      <c r="C257" s="4" t="s">
        <v>724</v>
      </c>
      <c r="D257" s="4" t="s">
        <v>443</v>
      </c>
      <c r="E257" s="4" t="s">
        <v>725</v>
      </c>
      <c r="F257" s="5">
        <v>30000</v>
      </c>
      <c r="G257" s="20">
        <v>30000</v>
      </c>
      <c r="H257" s="34">
        <f t="shared" si="5"/>
        <v>0</v>
      </c>
    </row>
    <row r="258" spans="2:10" x14ac:dyDescent="0.25">
      <c r="E258" s="4" t="s">
        <v>454</v>
      </c>
      <c r="F258" s="5">
        <v>780</v>
      </c>
      <c r="H258" s="34">
        <f t="shared" si="5"/>
        <v>780</v>
      </c>
    </row>
    <row r="259" spans="2:10" x14ac:dyDescent="0.25">
      <c r="E259" s="4" t="s">
        <v>726</v>
      </c>
      <c r="F259" s="5">
        <v>600</v>
      </c>
      <c r="H259" s="34">
        <f t="shared" si="5"/>
        <v>600</v>
      </c>
    </row>
    <row r="260" spans="2:10" x14ac:dyDescent="0.25">
      <c r="E260" s="4" t="s">
        <v>146</v>
      </c>
      <c r="F260" s="5">
        <v>150</v>
      </c>
      <c r="G260" s="20">
        <f>22.44</f>
        <v>22.44</v>
      </c>
      <c r="H260" s="34">
        <f t="shared" si="5"/>
        <v>127.56</v>
      </c>
    </row>
    <row r="261" spans="2:10" ht="15" thickBot="1" x14ac:dyDescent="0.3">
      <c r="E261" s="4" t="s">
        <v>721</v>
      </c>
      <c r="F261" s="6">
        <v>100</v>
      </c>
      <c r="G261" s="21"/>
      <c r="H261" s="25">
        <f t="shared" si="5"/>
        <v>100</v>
      </c>
    </row>
    <row r="262" spans="2:10" x14ac:dyDescent="0.25">
      <c r="F262" s="5">
        <f>SUM(F257:F261)</f>
        <v>31630</v>
      </c>
      <c r="G262" s="5">
        <f>SUM(G257:G261)</f>
        <v>30022.44</v>
      </c>
      <c r="H262" s="5">
        <f>SUM(H257:H261)</f>
        <v>1607.56</v>
      </c>
      <c r="I262" s="31">
        <f>H260+H261</f>
        <v>227.56</v>
      </c>
      <c r="J262" s="45" t="s">
        <v>941</v>
      </c>
    </row>
    <row r="263" spans="2:10" x14ac:dyDescent="0.25">
      <c r="B263" s="4" t="s">
        <v>122</v>
      </c>
      <c r="C263" s="4" t="s">
        <v>727</v>
      </c>
      <c r="D263" s="4" t="s">
        <v>443</v>
      </c>
      <c r="E263" s="4" t="s">
        <v>727</v>
      </c>
      <c r="F263" s="5">
        <v>10000</v>
      </c>
      <c r="G263" s="20">
        <v>10000</v>
      </c>
      <c r="H263" s="34">
        <f t="shared" si="5"/>
        <v>0</v>
      </c>
    </row>
    <row r="264" spans="2:10" x14ac:dyDescent="0.25">
      <c r="E264" s="4" t="s">
        <v>453</v>
      </c>
      <c r="F264" s="5">
        <v>1000</v>
      </c>
      <c r="G264" s="20">
        <v>1000</v>
      </c>
      <c r="H264" s="34">
        <f t="shared" si="5"/>
        <v>0</v>
      </c>
    </row>
    <row r="265" spans="2:10" x14ac:dyDescent="0.25">
      <c r="E265" s="4" t="s">
        <v>720</v>
      </c>
      <c r="F265" s="5">
        <v>600</v>
      </c>
      <c r="H265" s="34">
        <f t="shared" si="5"/>
        <v>600</v>
      </c>
    </row>
    <row r="266" spans="2:10" x14ac:dyDescent="0.25">
      <c r="E266" s="4" t="s">
        <v>728</v>
      </c>
      <c r="F266" s="5">
        <v>390</v>
      </c>
      <c r="H266" s="34">
        <f t="shared" si="5"/>
        <v>390</v>
      </c>
    </row>
    <row r="267" spans="2:10" ht="15" thickBot="1" x14ac:dyDescent="0.3">
      <c r="E267" s="4" t="s">
        <v>146</v>
      </c>
      <c r="F267" s="6">
        <v>100</v>
      </c>
      <c r="G267" s="21">
        <f>16.56</f>
        <v>16.559999999999999</v>
      </c>
      <c r="H267" s="25">
        <f t="shared" si="5"/>
        <v>83.44</v>
      </c>
    </row>
    <row r="268" spans="2:10" x14ac:dyDescent="0.25">
      <c r="F268" s="5">
        <f>SUM(F263:F267)</f>
        <v>12090</v>
      </c>
      <c r="G268" s="5">
        <f>SUM(G263:G267)</f>
        <v>11016.56</v>
      </c>
      <c r="H268" s="5">
        <f>SUM(H263:H267)</f>
        <v>1073.44</v>
      </c>
      <c r="I268" s="31">
        <f>H267</f>
        <v>83.44</v>
      </c>
      <c r="J268" s="45" t="s">
        <v>941</v>
      </c>
    </row>
    <row r="269" spans="2:10" x14ac:dyDescent="0.25">
      <c r="B269" s="4" t="s">
        <v>122</v>
      </c>
      <c r="C269" s="4" t="s">
        <v>729</v>
      </c>
      <c r="D269" s="4" t="s">
        <v>443</v>
      </c>
      <c r="E269" s="4" t="s">
        <v>729</v>
      </c>
      <c r="F269" s="5">
        <v>9000</v>
      </c>
      <c r="H269" s="34">
        <f t="shared" si="5"/>
        <v>9000</v>
      </c>
    </row>
    <row r="270" spans="2:10" x14ac:dyDescent="0.25">
      <c r="E270" s="4" t="s">
        <v>453</v>
      </c>
      <c r="F270" s="5">
        <v>900</v>
      </c>
      <c r="H270" s="34">
        <f t="shared" si="5"/>
        <v>900</v>
      </c>
    </row>
    <row r="271" spans="2:10" x14ac:dyDescent="0.25">
      <c r="E271" s="4" t="s">
        <v>731</v>
      </c>
      <c r="F271" s="5">
        <v>600</v>
      </c>
      <c r="H271" s="34">
        <f t="shared" si="5"/>
        <v>600</v>
      </c>
    </row>
    <row r="272" spans="2:10" x14ac:dyDescent="0.25">
      <c r="E272" s="4" t="s">
        <v>454</v>
      </c>
      <c r="F272" s="5">
        <v>520</v>
      </c>
      <c r="H272" s="34">
        <f t="shared" si="5"/>
        <v>520</v>
      </c>
    </row>
    <row r="273" spans="1:10" x14ac:dyDescent="0.25">
      <c r="E273" s="4" t="s">
        <v>146</v>
      </c>
      <c r="F273" s="5">
        <v>100</v>
      </c>
      <c r="H273" s="34">
        <f t="shared" si="5"/>
        <v>100</v>
      </c>
    </row>
    <row r="274" spans="1:10" x14ac:dyDescent="0.25">
      <c r="E274" s="4" t="s">
        <v>721</v>
      </c>
      <c r="F274" s="5">
        <v>100</v>
      </c>
      <c r="H274" s="34">
        <f t="shared" si="5"/>
        <v>100</v>
      </c>
    </row>
    <row r="275" spans="1:10" ht="15" thickBot="1" x14ac:dyDescent="0.3">
      <c r="E275" s="4" t="s">
        <v>730</v>
      </c>
      <c r="F275" s="6">
        <v>100</v>
      </c>
      <c r="G275" s="21"/>
      <c r="H275" s="25">
        <f t="shared" si="5"/>
        <v>100</v>
      </c>
    </row>
    <row r="276" spans="1:10" x14ac:dyDescent="0.25">
      <c r="F276" s="5">
        <f>SUM(F269:F275)</f>
        <v>11320</v>
      </c>
      <c r="G276" s="5">
        <f>SUM(G269:G275)</f>
        <v>0</v>
      </c>
      <c r="H276" s="5">
        <f>SUM(H269:H275)</f>
        <v>11320</v>
      </c>
      <c r="I276" s="45" t="s">
        <v>852</v>
      </c>
      <c r="J276" s="45"/>
    </row>
    <row r="277" spans="1:10" ht="16.5" customHeight="1" x14ac:dyDescent="0.25">
      <c r="A277" s="42">
        <v>42298</v>
      </c>
      <c r="B277" s="41" t="s">
        <v>792</v>
      </c>
      <c r="C277" s="41" t="s">
        <v>793</v>
      </c>
      <c r="D277" s="41" t="s">
        <v>557</v>
      </c>
      <c r="E277" s="41" t="s">
        <v>794</v>
      </c>
      <c r="F277" s="43">
        <v>1500</v>
      </c>
      <c r="G277" s="5">
        <v>1500</v>
      </c>
      <c r="H277" s="34">
        <f t="shared" si="5"/>
        <v>0</v>
      </c>
    </row>
    <row r="278" spans="1:10" ht="15" x14ac:dyDescent="0.25">
      <c r="A278" s="41"/>
      <c r="B278" s="41"/>
      <c r="C278" s="41"/>
      <c r="D278" s="41"/>
      <c r="E278" s="41" t="s">
        <v>795</v>
      </c>
      <c r="F278" s="43">
        <v>197.4</v>
      </c>
      <c r="G278" s="5"/>
      <c r="H278" s="34">
        <f t="shared" si="5"/>
        <v>197.4</v>
      </c>
    </row>
    <row r="279" spans="1:10" ht="15" x14ac:dyDescent="0.25">
      <c r="A279" s="41"/>
      <c r="B279" s="41"/>
      <c r="C279" s="41"/>
      <c r="D279" s="41"/>
      <c r="E279" s="41"/>
      <c r="F279" s="43">
        <f>SUM(F277:F278)</f>
        <v>1697.4</v>
      </c>
      <c r="G279" s="5"/>
      <c r="H279" s="34">
        <f t="shared" si="5"/>
        <v>1697.4</v>
      </c>
    </row>
    <row r="280" spans="1:10" ht="15" x14ac:dyDescent="0.25">
      <c r="A280" s="41"/>
      <c r="B280" s="41" t="s">
        <v>64</v>
      </c>
      <c r="C280" s="41" t="s">
        <v>796</v>
      </c>
      <c r="D280" s="41" t="s">
        <v>557</v>
      </c>
      <c r="E280" s="41" t="s">
        <v>191</v>
      </c>
      <c r="F280" s="43">
        <v>1352.5</v>
      </c>
      <c r="G280" s="5">
        <v>1352.5</v>
      </c>
      <c r="H280" s="34">
        <f t="shared" si="5"/>
        <v>0</v>
      </c>
    </row>
    <row r="281" spans="1:10" ht="15" x14ac:dyDescent="0.25">
      <c r="A281" s="41"/>
      <c r="B281" s="41"/>
      <c r="C281" s="41"/>
      <c r="D281" s="41"/>
      <c r="E281" s="41" t="s">
        <v>797</v>
      </c>
      <c r="F281" s="43">
        <v>70</v>
      </c>
      <c r="G281" s="5"/>
      <c r="H281" s="34">
        <f t="shared" si="5"/>
        <v>70</v>
      </c>
    </row>
    <row r="282" spans="1:10" ht="15" x14ac:dyDescent="0.25">
      <c r="A282" s="41"/>
      <c r="B282" s="41"/>
      <c r="C282" s="41"/>
      <c r="D282" s="41"/>
      <c r="E282" s="41" t="s">
        <v>551</v>
      </c>
      <c r="F282" s="43">
        <v>10</v>
      </c>
      <c r="G282" s="5"/>
      <c r="H282" s="34">
        <f t="shared" si="5"/>
        <v>10</v>
      </c>
    </row>
    <row r="283" spans="1:10" ht="15" x14ac:dyDescent="0.25">
      <c r="A283" s="41"/>
      <c r="B283" s="41"/>
      <c r="C283" s="41"/>
      <c r="D283" s="41"/>
      <c r="E283" s="41" t="s">
        <v>295</v>
      </c>
      <c r="F283" s="43">
        <v>22</v>
      </c>
      <c r="G283" s="5">
        <v>22</v>
      </c>
      <c r="H283" s="34">
        <f t="shared" si="5"/>
        <v>0</v>
      </c>
    </row>
    <row r="284" spans="1:10" ht="15" x14ac:dyDescent="0.25">
      <c r="A284" s="41"/>
      <c r="B284" s="41"/>
      <c r="C284" s="41"/>
      <c r="D284" s="41"/>
      <c r="E284" s="41" t="s">
        <v>798</v>
      </c>
      <c r="F284" s="43">
        <v>20</v>
      </c>
      <c r="G284" s="5">
        <v>17.8</v>
      </c>
      <c r="H284" s="34">
        <f t="shared" si="5"/>
        <v>2.1999999999999993</v>
      </c>
    </row>
    <row r="285" spans="1:10" ht="15" x14ac:dyDescent="0.25">
      <c r="A285" s="41"/>
      <c r="B285" s="41"/>
      <c r="C285" s="41"/>
      <c r="D285" s="41"/>
      <c r="E285" s="41" t="s">
        <v>799</v>
      </c>
      <c r="F285" s="43">
        <v>40</v>
      </c>
      <c r="G285" s="5">
        <v>40</v>
      </c>
      <c r="H285" s="34">
        <f t="shared" si="5"/>
        <v>0</v>
      </c>
    </row>
    <row r="286" spans="1:10" ht="15" x14ac:dyDescent="0.25">
      <c r="A286" s="41"/>
      <c r="B286" s="41"/>
      <c r="C286" s="41"/>
      <c r="D286" s="41"/>
      <c r="E286" s="41" t="s">
        <v>494</v>
      </c>
      <c r="F286" s="43">
        <v>100</v>
      </c>
      <c r="G286" s="5">
        <v>100</v>
      </c>
      <c r="H286" s="34">
        <f t="shared" si="5"/>
        <v>0</v>
      </c>
    </row>
    <row r="287" spans="1:10" ht="15" x14ac:dyDescent="0.25">
      <c r="A287" s="41"/>
      <c r="B287" s="41"/>
      <c r="C287" s="41"/>
      <c r="D287" s="41"/>
      <c r="E287" s="41" t="s">
        <v>188</v>
      </c>
      <c r="F287" s="43">
        <v>50</v>
      </c>
      <c r="G287" s="5">
        <v>50</v>
      </c>
      <c r="H287" s="34">
        <f t="shared" si="5"/>
        <v>0</v>
      </c>
    </row>
    <row r="288" spans="1:10" ht="15" x14ac:dyDescent="0.25">
      <c r="A288" s="41"/>
      <c r="B288" s="41"/>
      <c r="C288" s="41"/>
      <c r="D288" s="41"/>
      <c r="E288" s="41" t="s">
        <v>800</v>
      </c>
      <c r="F288" s="43">
        <v>50</v>
      </c>
      <c r="G288" s="5">
        <v>39.99</v>
      </c>
      <c r="H288" s="34">
        <f t="shared" si="5"/>
        <v>10.009999999999998</v>
      </c>
    </row>
    <row r="289" spans="1:10" ht="15" x14ac:dyDescent="0.25">
      <c r="A289" s="41"/>
      <c r="B289" s="41"/>
      <c r="C289" s="41"/>
      <c r="D289" s="41"/>
      <c r="E289" s="41" t="s">
        <v>768</v>
      </c>
      <c r="F289" s="43">
        <v>25</v>
      </c>
      <c r="G289" s="5"/>
      <c r="H289" s="34">
        <f t="shared" si="5"/>
        <v>25</v>
      </c>
    </row>
    <row r="290" spans="1:10" ht="15.75" thickBot="1" x14ac:dyDescent="0.3">
      <c r="A290" s="41"/>
      <c r="B290" s="41"/>
      <c r="C290" s="41"/>
      <c r="D290" s="41"/>
      <c r="E290" s="41" t="s">
        <v>801</v>
      </c>
      <c r="F290" s="44">
        <v>13.95</v>
      </c>
      <c r="G290" s="6">
        <v>13.95</v>
      </c>
      <c r="H290" s="25">
        <f t="shared" si="5"/>
        <v>0</v>
      </c>
    </row>
    <row r="291" spans="1:10" ht="15" x14ac:dyDescent="0.25">
      <c r="A291" s="41"/>
      <c r="B291" s="41"/>
      <c r="C291" s="41"/>
      <c r="D291" s="41"/>
      <c r="E291" s="41"/>
      <c r="F291" s="43">
        <f>SUM(F280:F290)</f>
        <v>1753.45</v>
      </c>
      <c r="G291" s="5"/>
      <c r="H291" s="34">
        <f t="shared" si="5"/>
        <v>1753.45</v>
      </c>
      <c r="I291" s="31">
        <f>SUM(H281:H289)</f>
        <v>117.21000000000001</v>
      </c>
      <c r="J291" s="45" t="s">
        <v>941</v>
      </c>
    </row>
    <row r="292" spans="1:10" ht="16.5" customHeight="1" thickBot="1" x14ac:dyDescent="0.3">
      <c r="A292" s="41"/>
      <c r="B292" s="41" t="s">
        <v>83</v>
      </c>
      <c r="C292" s="41" t="s">
        <v>802</v>
      </c>
      <c r="D292" s="41" t="s">
        <v>557</v>
      </c>
      <c r="E292" s="41" t="s">
        <v>186</v>
      </c>
      <c r="F292" s="44">
        <v>1859</v>
      </c>
      <c r="G292" s="6">
        <f>1745.7</f>
        <v>1745.7</v>
      </c>
      <c r="H292" s="25">
        <f t="shared" si="5"/>
        <v>113.29999999999995</v>
      </c>
    </row>
    <row r="293" spans="1:10" ht="15" x14ac:dyDescent="0.25">
      <c r="A293" s="41"/>
      <c r="B293" s="41"/>
      <c r="C293" s="41"/>
      <c r="D293" s="41"/>
      <c r="E293" s="41"/>
      <c r="F293" s="43">
        <f>SUM(F292)</f>
        <v>1859</v>
      </c>
      <c r="G293" s="5"/>
      <c r="H293" s="34">
        <f t="shared" si="5"/>
        <v>1859</v>
      </c>
    </row>
    <row r="294" spans="1:10" ht="15" x14ac:dyDescent="0.25">
      <c r="A294" s="41"/>
      <c r="B294" s="41" t="s">
        <v>594</v>
      </c>
      <c r="C294" s="41" t="s">
        <v>803</v>
      </c>
      <c r="D294" s="41" t="s">
        <v>443</v>
      </c>
      <c r="E294" s="41" t="s">
        <v>804</v>
      </c>
      <c r="F294" s="43">
        <v>350</v>
      </c>
      <c r="G294" s="5">
        <v>350</v>
      </c>
      <c r="H294" s="34">
        <f t="shared" si="5"/>
        <v>0</v>
      </c>
    </row>
    <row r="295" spans="1:10" ht="15" x14ac:dyDescent="0.25">
      <c r="A295" s="41"/>
      <c r="B295" s="41"/>
      <c r="C295" s="41"/>
      <c r="D295" s="41"/>
      <c r="E295" s="41" t="s">
        <v>805</v>
      </c>
      <c r="F295" s="43">
        <v>750</v>
      </c>
      <c r="G295" s="5">
        <v>699</v>
      </c>
      <c r="H295" s="34">
        <f t="shared" si="5"/>
        <v>51</v>
      </c>
    </row>
    <row r="296" spans="1:10" ht="15.75" thickBot="1" x14ac:dyDescent="0.3">
      <c r="A296" s="41"/>
      <c r="B296" s="41"/>
      <c r="C296" s="41"/>
      <c r="D296" s="41"/>
      <c r="E296" s="41" t="s">
        <v>93</v>
      </c>
      <c r="F296" s="44">
        <v>40</v>
      </c>
      <c r="G296" s="6"/>
      <c r="H296" s="25">
        <f t="shared" si="5"/>
        <v>40</v>
      </c>
    </row>
    <row r="297" spans="1:10" ht="15" x14ac:dyDescent="0.25">
      <c r="A297" s="41"/>
      <c r="B297" s="41"/>
      <c r="C297" s="41"/>
      <c r="D297" s="41"/>
      <c r="E297" s="41"/>
      <c r="F297" s="43">
        <f>SUM(F294:F296)</f>
        <v>1140</v>
      </c>
      <c r="G297" s="5"/>
      <c r="H297" s="34">
        <f t="shared" si="5"/>
        <v>1140</v>
      </c>
      <c r="I297" s="31">
        <f>SUM(H295:H296)</f>
        <v>91</v>
      </c>
      <c r="J297" s="45" t="s">
        <v>941</v>
      </c>
    </row>
    <row r="298" spans="1:10" ht="15" x14ac:dyDescent="0.25">
      <c r="A298" s="41"/>
      <c r="B298" s="41" t="s">
        <v>414</v>
      </c>
      <c r="C298" s="41" t="s">
        <v>806</v>
      </c>
      <c r="D298" s="41" t="s">
        <v>443</v>
      </c>
      <c r="E298" s="41" t="s">
        <v>498</v>
      </c>
      <c r="F298" s="43">
        <v>2700</v>
      </c>
      <c r="G298" s="5"/>
      <c r="H298" s="34">
        <f t="shared" si="5"/>
        <v>2700</v>
      </c>
    </row>
    <row r="299" spans="1:10" ht="15" x14ac:dyDescent="0.25">
      <c r="A299" s="41"/>
      <c r="B299" s="41"/>
      <c r="C299" s="41"/>
      <c r="D299" s="41"/>
      <c r="E299" s="41" t="s">
        <v>499</v>
      </c>
      <c r="F299" s="43">
        <v>2750</v>
      </c>
      <c r="G299" s="5">
        <f>12.53+874.45+227.81+72.87+104.79+110.97+234.87+656.42+111.44+37.05</f>
        <v>2443.2000000000003</v>
      </c>
      <c r="H299" s="34">
        <f t="shared" si="5"/>
        <v>306.79999999999973</v>
      </c>
    </row>
    <row r="300" spans="1:10" ht="15" x14ac:dyDescent="0.25">
      <c r="A300" s="41"/>
      <c r="B300" s="41"/>
      <c r="C300" s="41"/>
      <c r="D300" s="41"/>
      <c r="E300" s="41" t="s">
        <v>32</v>
      </c>
      <c r="F300" s="43">
        <v>600</v>
      </c>
      <c r="G300" s="5">
        <f>85.75+76.74+133.02+59.95+77.75</f>
        <v>433.21</v>
      </c>
      <c r="H300" s="34">
        <f t="shared" si="5"/>
        <v>166.79000000000002</v>
      </c>
    </row>
    <row r="301" spans="1:10" ht="15" x14ac:dyDescent="0.25">
      <c r="A301" s="41"/>
      <c r="B301" s="41"/>
      <c r="C301" s="41"/>
      <c r="D301" s="41"/>
      <c r="E301" s="41" t="s">
        <v>33</v>
      </c>
      <c r="F301" s="43">
        <v>1500</v>
      </c>
      <c r="G301" s="5">
        <f>94.98+134.68+27.47+59.65+238.14+224.3+66.93</f>
        <v>846.15000000000009</v>
      </c>
      <c r="H301" s="34">
        <f t="shared" si="5"/>
        <v>653.84999999999991</v>
      </c>
    </row>
    <row r="302" spans="1:10" ht="15" x14ac:dyDescent="0.25">
      <c r="A302" s="41"/>
      <c r="B302" s="41"/>
      <c r="C302" s="41"/>
      <c r="D302" s="41"/>
      <c r="E302" s="41" t="s">
        <v>807</v>
      </c>
      <c r="F302" s="43">
        <v>600</v>
      </c>
      <c r="G302" s="5">
        <f>181.87+19.92+45</f>
        <v>246.79000000000002</v>
      </c>
      <c r="H302" s="34">
        <f t="shared" si="5"/>
        <v>353.21</v>
      </c>
    </row>
    <row r="303" spans="1:10" ht="15" x14ac:dyDescent="0.25">
      <c r="A303" s="41"/>
      <c r="B303" s="41"/>
      <c r="C303" s="41"/>
      <c r="D303" s="41"/>
      <c r="E303" s="41" t="s">
        <v>500</v>
      </c>
      <c r="F303" s="43">
        <f>250+1000+250</f>
        <v>1500</v>
      </c>
      <c r="G303" s="5">
        <f>105.95+1303.2+52.97</f>
        <v>1462.1200000000001</v>
      </c>
      <c r="H303" s="34">
        <f t="shared" si="5"/>
        <v>37.879999999999882</v>
      </c>
    </row>
    <row r="304" spans="1:10" ht="15" x14ac:dyDescent="0.25">
      <c r="A304" s="41"/>
      <c r="B304" s="41"/>
      <c r="C304" s="41"/>
      <c r="D304" s="41"/>
      <c r="E304" s="41" t="s">
        <v>808</v>
      </c>
      <c r="F304" s="43">
        <v>3000</v>
      </c>
      <c r="G304" s="5"/>
      <c r="H304" s="34">
        <f t="shared" si="5"/>
        <v>3000</v>
      </c>
    </row>
    <row r="305" spans="1:8" ht="15" x14ac:dyDescent="0.25">
      <c r="A305" s="41"/>
      <c r="B305" s="41"/>
      <c r="C305" s="41"/>
      <c r="D305" s="41"/>
      <c r="E305" s="41" t="s">
        <v>809</v>
      </c>
      <c r="F305" s="43">
        <v>100</v>
      </c>
      <c r="G305" s="5">
        <f>43.63</f>
        <v>43.63</v>
      </c>
      <c r="H305" s="34">
        <f t="shared" si="5"/>
        <v>56.37</v>
      </c>
    </row>
    <row r="306" spans="1:8" ht="15" x14ac:dyDescent="0.25">
      <c r="A306" s="41"/>
      <c r="B306" s="41"/>
      <c r="C306" s="41"/>
      <c r="D306" s="41"/>
      <c r="E306" s="41" t="s">
        <v>36</v>
      </c>
      <c r="F306" s="43">
        <v>850</v>
      </c>
      <c r="G306" s="5">
        <f>710</f>
        <v>710</v>
      </c>
      <c r="H306" s="34">
        <f t="shared" si="5"/>
        <v>140</v>
      </c>
    </row>
    <row r="307" spans="1:8" ht="15" x14ac:dyDescent="0.25">
      <c r="A307" s="41"/>
      <c r="B307" s="41"/>
      <c r="C307" s="41"/>
      <c r="D307" s="41"/>
      <c r="E307" s="41" t="s">
        <v>38</v>
      </c>
      <c r="F307" s="43">
        <v>100</v>
      </c>
      <c r="G307" s="5">
        <f>55.26+25.59</f>
        <v>80.849999999999994</v>
      </c>
      <c r="H307" s="34">
        <f t="shared" si="5"/>
        <v>19.150000000000006</v>
      </c>
    </row>
    <row r="308" spans="1:8" ht="15" x14ac:dyDescent="0.25">
      <c r="A308" s="41"/>
      <c r="B308" s="41"/>
      <c r="C308" s="41"/>
      <c r="D308" s="41"/>
      <c r="E308" s="41" t="s">
        <v>810</v>
      </c>
      <c r="F308" s="43">
        <v>4000</v>
      </c>
      <c r="G308" s="5">
        <f>2000+2000</f>
        <v>4000</v>
      </c>
      <c r="H308" s="34">
        <f t="shared" si="5"/>
        <v>0</v>
      </c>
    </row>
    <row r="309" spans="1:8" ht="15" x14ac:dyDescent="0.25">
      <c r="A309" s="41"/>
      <c r="B309" s="41"/>
      <c r="C309" s="41"/>
      <c r="D309" s="41"/>
      <c r="E309" s="41" t="s">
        <v>811</v>
      </c>
      <c r="F309" s="43">
        <v>4000</v>
      </c>
      <c r="G309" s="5">
        <v>4000</v>
      </c>
      <c r="H309" s="34">
        <f t="shared" si="5"/>
        <v>0</v>
      </c>
    </row>
    <row r="310" spans="1:8" ht="15" x14ac:dyDescent="0.25">
      <c r="A310" s="41"/>
      <c r="B310" s="41"/>
      <c r="C310" s="41"/>
      <c r="D310" s="41"/>
      <c r="E310" s="41" t="s">
        <v>812</v>
      </c>
      <c r="F310" s="43">
        <v>1000</v>
      </c>
      <c r="G310" s="5">
        <f>59.53+552.75</f>
        <v>612.28</v>
      </c>
      <c r="H310" s="34">
        <f t="shared" si="5"/>
        <v>387.72</v>
      </c>
    </row>
    <row r="311" spans="1:8" ht="15.75" thickBot="1" x14ac:dyDescent="0.3">
      <c r="A311" s="41"/>
      <c r="B311" s="41"/>
      <c r="C311" s="41"/>
      <c r="D311" s="41"/>
      <c r="E311" s="41" t="s">
        <v>813</v>
      </c>
      <c r="F311" s="44">
        <v>1000</v>
      </c>
      <c r="G311" s="6">
        <f>757.68</f>
        <v>757.68</v>
      </c>
      <c r="H311" s="25">
        <f t="shared" si="5"/>
        <v>242.32000000000005</v>
      </c>
    </row>
    <row r="312" spans="1:8" ht="15" x14ac:dyDescent="0.25">
      <c r="A312" s="41"/>
      <c r="B312" s="41"/>
      <c r="C312" s="41"/>
      <c r="D312" s="41"/>
      <c r="E312" s="41"/>
      <c r="F312" s="43">
        <f>SUM(F298:F311)</f>
        <v>23700</v>
      </c>
      <c r="G312" s="5"/>
      <c r="H312" s="34">
        <f t="shared" si="5"/>
        <v>23700</v>
      </c>
    </row>
    <row r="313" spans="1:8" ht="15.75" customHeight="1" x14ac:dyDescent="0.25">
      <c r="A313" s="41"/>
      <c r="B313" s="41" t="s">
        <v>215</v>
      </c>
      <c r="C313" s="41" t="s">
        <v>814</v>
      </c>
      <c r="D313" s="41" t="s">
        <v>443</v>
      </c>
      <c r="E313" s="41" t="s">
        <v>815</v>
      </c>
      <c r="F313" s="43">
        <v>25</v>
      </c>
      <c r="G313" s="5">
        <v>25</v>
      </c>
      <c r="H313" s="34">
        <f t="shared" si="5"/>
        <v>0</v>
      </c>
    </row>
    <row r="314" spans="1:8" ht="15" x14ac:dyDescent="0.25">
      <c r="A314" s="41"/>
      <c r="B314" s="41"/>
      <c r="C314" s="41"/>
      <c r="D314" s="41"/>
      <c r="E314" s="41" t="s">
        <v>816</v>
      </c>
      <c r="F314" s="43">
        <v>30</v>
      </c>
      <c r="G314" s="5"/>
      <c r="H314" s="34">
        <f t="shared" si="5"/>
        <v>30</v>
      </c>
    </row>
    <row r="315" spans="1:8" ht="15" x14ac:dyDescent="0.25">
      <c r="A315" s="41"/>
      <c r="B315" s="41"/>
      <c r="C315" s="41"/>
      <c r="D315" s="41"/>
      <c r="E315" s="41" t="s">
        <v>817</v>
      </c>
      <c r="F315" s="43">
        <v>210</v>
      </c>
      <c r="G315" s="5">
        <v>210</v>
      </c>
      <c r="H315" s="34">
        <f t="shared" si="5"/>
        <v>0</v>
      </c>
    </row>
    <row r="316" spans="1:8" ht="15.75" thickBot="1" x14ac:dyDescent="0.3">
      <c r="A316" s="41"/>
      <c r="B316" s="41"/>
      <c r="C316" s="41"/>
      <c r="D316" s="41"/>
      <c r="E316" s="41" t="s">
        <v>818</v>
      </c>
      <c r="F316" s="44">
        <v>40</v>
      </c>
      <c r="G316" s="6">
        <v>40</v>
      </c>
      <c r="H316" s="25">
        <f t="shared" si="5"/>
        <v>0</v>
      </c>
    </row>
    <row r="317" spans="1:8" ht="15" x14ac:dyDescent="0.25">
      <c r="A317" s="41"/>
      <c r="B317" s="41"/>
      <c r="C317" s="41"/>
      <c r="D317" s="41"/>
      <c r="E317" s="41"/>
      <c r="F317" s="43">
        <f>SUM(F313:F316)</f>
        <v>305</v>
      </c>
      <c r="G317" s="5"/>
      <c r="H317" s="34">
        <f t="shared" si="5"/>
        <v>305</v>
      </c>
    </row>
    <row r="318" spans="1:8" ht="15" x14ac:dyDescent="0.25">
      <c r="A318" s="41"/>
      <c r="B318" s="41" t="s">
        <v>88</v>
      </c>
      <c r="C318" s="41" t="s">
        <v>819</v>
      </c>
      <c r="D318" s="41" t="s">
        <v>557</v>
      </c>
      <c r="E318" s="41" t="s">
        <v>820</v>
      </c>
      <c r="F318" s="43">
        <v>1219.8800000000001</v>
      </c>
      <c r="G318" s="5">
        <v>1219.8800000000001</v>
      </c>
      <c r="H318" s="34">
        <f t="shared" si="5"/>
        <v>0</v>
      </c>
    </row>
    <row r="319" spans="1:8" ht="15" x14ac:dyDescent="0.25">
      <c r="A319" s="41"/>
      <c r="B319" s="41"/>
      <c r="C319" s="41"/>
      <c r="D319" s="41"/>
      <c r="E319" s="41" t="s">
        <v>821</v>
      </c>
      <c r="F319" s="43">
        <v>1832.5</v>
      </c>
      <c r="G319" s="5">
        <v>1832.5</v>
      </c>
      <c r="H319" s="34">
        <f t="shared" si="5"/>
        <v>0</v>
      </c>
    </row>
    <row r="320" spans="1:8" ht="15" x14ac:dyDescent="0.25">
      <c r="A320" s="41"/>
      <c r="B320" s="41"/>
      <c r="C320" s="41"/>
      <c r="D320" s="41"/>
      <c r="E320" s="41" t="s">
        <v>822</v>
      </c>
      <c r="F320" s="43">
        <v>73.97</v>
      </c>
      <c r="G320" s="5">
        <f>9+48</f>
        <v>57</v>
      </c>
      <c r="H320" s="34">
        <f t="shared" si="5"/>
        <v>16.97</v>
      </c>
    </row>
    <row r="321" spans="1:10" ht="15" x14ac:dyDescent="0.25">
      <c r="A321" s="41"/>
      <c r="B321" s="41"/>
      <c r="C321" s="41"/>
      <c r="D321" s="41"/>
      <c r="E321" s="41" t="s">
        <v>188</v>
      </c>
      <c r="F321" s="43">
        <v>308.97000000000003</v>
      </c>
      <c r="G321" s="5">
        <f>123.95+159+26.02</f>
        <v>308.96999999999997</v>
      </c>
      <c r="H321" s="34">
        <f t="shared" si="5"/>
        <v>5.6843418860808015E-14</v>
      </c>
    </row>
    <row r="322" spans="1:10" ht="15" x14ac:dyDescent="0.25">
      <c r="A322" s="41"/>
      <c r="B322" s="41"/>
      <c r="C322" s="41"/>
      <c r="D322" s="41"/>
      <c r="E322" s="41" t="s">
        <v>93</v>
      </c>
      <c r="F322" s="43">
        <v>150</v>
      </c>
      <c r="G322" s="5">
        <f>48.89+101.01</f>
        <v>149.9</v>
      </c>
      <c r="H322" s="34">
        <f t="shared" si="5"/>
        <v>9.9999999999994316E-2</v>
      </c>
    </row>
    <row r="323" spans="1:10" ht="15" x14ac:dyDescent="0.25">
      <c r="A323" s="41"/>
      <c r="B323" s="41"/>
      <c r="C323" s="41"/>
      <c r="D323" s="41"/>
      <c r="E323" s="41" t="s">
        <v>823</v>
      </c>
      <c r="F323" s="43">
        <v>249</v>
      </c>
      <c r="G323" s="5">
        <v>249</v>
      </c>
      <c r="H323" s="34">
        <f t="shared" si="5"/>
        <v>0</v>
      </c>
    </row>
    <row r="324" spans="1:10" ht="15" x14ac:dyDescent="0.25">
      <c r="A324" s="41"/>
      <c r="B324" s="41"/>
      <c r="C324" s="41"/>
      <c r="D324" s="41"/>
      <c r="E324" s="41" t="s">
        <v>824</v>
      </c>
      <c r="F324" s="43">
        <v>129.63999999999999</v>
      </c>
      <c r="G324" s="5">
        <f>86.4+30.58</f>
        <v>116.98</v>
      </c>
      <c r="H324" s="34">
        <f t="shared" si="5"/>
        <v>12.659999999999982</v>
      </c>
    </row>
    <row r="325" spans="1:10" ht="15.75" thickBot="1" x14ac:dyDescent="0.3">
      <c r="A325" s="41"/>
      <c r="B325" s="41"/>
      <c r="C325" s="41"/>
      <c r="D325" s="41"/>
      <c r="E325" s="41" t="s">
        <v>825</v>
      </c>
      <c r="F325" s="44">
        <v>96.4</v>
      </c>
      <c r="G325" s="6"/>
      <c r="H325" s="25">
        <f t="shared" si="5"/>
        <v>96.4</v>
      </c>
    </row>
    <row r="326" spans="1:10" ht="15" x14ac:dyDescent="0.25">
      <c r="A326" s="41"/>
      <c r="B326" s="41"/>
      <c r="C326" s="41"/>
      <c r="D326" s="41"/>
      <c r="E326" s="41"/>
      <c r="F326" s="43">
        <f>SUM(F318:F325)</f>
        <v>4060.3599999999997</v>
      </c>
      <c r="G326" s="5"/>
      <c r="H326" s="34">
        <f t="shared" si="5"/>
        <v>4060.3599999999997</v>
      </c>
      <c r="I326" s="31">
        <f>H320+H322+H324+H325</f>
        <v>126.12999999999998</v>
      </c>
      <c r="J326" s="45" t="s">
        <v>941</v>
      </c>
    </row>
    <row r="327" spans="1:10" ht="15.75" thickBot="1" x14ac:dyDescent="0.3">
      <c r="A327" s="41"/>
      <c r="B327" s="41" t="s">
        <v>826</v>
      </c>
      <c r="C327" s="41" t="s">
        <v>827</v>
      </c>
      <c r="D327" s="41" t="s">
        <v>443</v>
      </c>
      <c r="E327" s="41" t="s">
        <v>828</v>
      </c>
      <c r="F327" s="44">
        <v>116.9</v>
      </c>
      <c r="G327" s="6">
        <v>116.9</v>
      </c>
      <c r="H327" s="25">
        <f t="shared" si="5"/>
        <v>0</v>
      </c>
    </row>
    <row r="328" spans="1:10" ht="15" x14ac:dyDescent="0.25">
      <c r="A328" s="41"/>
      <c r="B328" s="41"/>
      <c r="C328" s="41"/>
      <c r="D328" s="41"/>
      <c r="E328" s="41"/>
      <c r="F328" s="43">
        <f>SUM(F327)</f>
        <v>116.9</v>
      </c>
      <c r="G328" s="5"/>
      <c r="H328" s="34">
        <f t="shared" si="5"/>
        <v>116.9</v>
      </c>
    </row>
    <row r="329" spans="1:10" ht="15.75" thickBot="1" x14ac:dyDescent="0.3">
      <c r="A329" s="41"/>
      <c r="B329" s="41" t="s">
        <v>870</v>
      </c>
      <c r="C329" s="41" t="s">
        <v>871</v>
      </c>
      <c r="D329" s="41" t="s">
        <v>443</v>
      </c>
      <c r="E329" s="41" t="s">
        <v>186</v>
      </c>
      <c r="F329" s="44">
        <v>2499</v>
      </c>
      <c r="G329" s="6">
        <v>2499</v>
      </c>
      <c r="H329" s="25">
        <f t="shared" si="5"/>
        <v>0</v>
      </c>
    </row>
    <row r="330" spans="1:10" ht="15" x14ac:dyDescent="0.25">
      <c r="A330" s="41"/>
      <c r="B330" s="41"/>
      <c r="C330" s="41"/>
      <c r="D330" s="41"/>
      <c r="E330" s="41"/>
      <c r="F330" s="43">
        <f>SUM(F329)</f>
        <v>2499</v>
      </c>
      <c r="G330" s="43">
        <f>SUM(G329)</f>
        <v>2499</v>
      </c>
      <c r="H330" s="43">
        <f>SUM(H329)</f>
        <v>0</v>
      </c>
    </row>
    <row r="331" spans="1:10" x14ac:dyDescent="0.25">
      <c r="A331" s="22">
        <v>42305</v>
      </c>
      <c r="B331" s="4" t="s">
        <v>120</v>
      </c>
      <c r="C331" s="4" t="s">
        <v>740</v>
      </c>
      <c r="D331" s="4" t="s">
        <v>557</v>
      </c>
      <c r="E331" s="4" t="s">
        <v>741</v>
      </c>
      <c r="F331" s="5">
        <v>330</v>
      </c>
      <c r="G331" s="20">
        <v>330</v>
      </c>
      <c r="H331" s="34">
        <f t="shared" si="5"/>
        <v>0</v>
      </c>
    </row>
    <row r="332" spans="1:10" x14ac:dyDescent="0.25">
      <c r="E332" s="4" t="s">
        <v>742</v>
      </c>
      <c r="F332" s="5">
        <v>220</v>
      </c>
      <c r="G332" s="20">
        <v>220</v>
      </c>
      <c r="H332" s="34">
        <f t="shared" si="5"/>
        <v>0</v>
      </c>
    </row>
    <row r="333" spans="1:10" x14ac:dyDescent="0.25">
      <c r="E333" s="4" t="s">
        <v>743</v>
      </c>
      <c r="F333" s="5">
        <v>150</v>
      </c>
      <c r="G333" s="20">
        <v>150</v>
      </c>
      <c r="H333" s="34">
        <f t="shared" si="5"/>
        <v>0</v>
      </c>
    </row>
    <row r="334" spans="1:10" x14ac:dyDescent="0.25">
      <c r="E334" s="4" t="s">
        <v>744</v>
      </c>
      <c r="F334" s="5">
        <v>125</v>
      </c>
      <c r="G334" s="20">
        <v>42</v>
      </c>
      <c r="H334" s="34">
        <f t="shared" si="5"/>
        <v>83</v>
      </c>
    </row>
    <row r="335" spans="1:10" x14ac:dyDescent="0.25">
      <c r="E335" s="4" t="s">
        <v>745</v>
      </c>
      <c r="F335" s="5">
        <v>300</v>
      </c>
      <c r="H335" s="34">
        <f t="shared" si="5"/>
        <v>300</v>
      </c>
    </row>
    <row r="336" spans="1:10" x14ac:dyDescent="0.25">
      <c r="E336" s="4" t="s">
        <v>746</v>
      </c>
      <c r="F336" s="5">
        <v>75</v>
      </c>
      <c r="G336" s="20">
        <v>75</v>
      </c>
      <c r="H336" s="34">
        <f t="shared" si="5"/>
        <v>0</v>
      </c>
    </row>
    <row r="337" spans="5:9" x14ac:dyDescent="0.25">
      <c r="E337" s="4" t="s">
        <v>747</v>
      </c>
      <c r="F337" s="5">
        <v>112</v>
      </c>
      <c r="G337" s="20">
        <v>112</v>
      </c>
      <c r="H337" s="34">
        <f t="shared" si="5"/>
        <v>0</v>
      </c>
    </row>
    <row r="338" spans="5:9" x14ac:dyDescent="0.25">
      <c r="E338" s="4" t="s">
        <v>748</v>
      </c>
      <c r="F338" s="5">
        <v>50</v>
      </c>
      <c r="G338" s="20">
        <v>50</v>
      </c>
      <c r="H338" s="34">
        <f t="shared" si="5"/>
        <v>0</v>
      </c>
    </row>
    <row r="339" spans="5:9" x14ac:dyDescent="0.25">
      <c r="E339" s="4" t="s">
        <v>749</v>
      </c>
      <c r="F339" s="5">
        <v>16</v>
      </c>
      <c r="G339" s="20">
        <v>16</v>
      </c>
      <c r="H339" s="34">
        <f t="shared" si="5"/>
        <v>0</v>
      </c>
    </row>
    <row r="340" spans="5:9" x14ac:dyDescent="0.25">
      <c r="E340" s="4" t="s">
        <v>750</v>
      </c>
      <c r="F340" s="5">
        <v>21</v>
      </c>
      <c r="G340" s="20">
        <v>21</v>
      </c>
      <c r="H340" s="34">
        <f t="shared" si="5"/>
        <v>0</v>
      </c>
    </row>
    <row r="341" spans="5:9" x14ac:dyDescent="0.25">
      <c r="E341" s="4" t="s">
        <v>751</v>
      </c>
      <c r="F341" s="5">
        <v>50</v>
      </c>
      <c r="G341" s="20">
        <v>50</v>
      </c>
      <c r="H341" s="34">
        <f t="shared" si="5"/>
        <v>0</v>
      </c>
    </row>
    <row r="342" spans="5:9" x14ac:dyDescent="0.25">
      <c r="E342" s="4" t="s">
        <v>752</v>
      </c>
      <c r="F342" s="5">
        <v>40</v>
      </c>
      <c r="G342" s="20">
        <f>146.38-137</f>
        <v>9.3799999999999955</v>
      </c>
      <c r="H342" s="34">
        <f t="shared" si="5"/>
        <v>30.620000000000005</v>
      </c>
    </row>
    <row r="343" spans="5:9" x14ac:dyDescent="0.25">
      <c r="E343" s="4" t="s">
        <v>753</v>
      </c>
      <c r="F343" s="5">
        <v>90</v>
      </c>
      <c r="H343" s="34">
        <f t="shared" si="5"/>
        <v>90</v>
      </c>
    </row>
    <row r="344" spans="5:9" x14ac:dyDescent="0.25">
      <c r="E344" s="4" t="s">
        <v>53</v>
      </c>
      <c r="F344" s="5">
        <v>12</v>
      </c>
      <c r="H344" s="34">
        <f t="shared" si="5"/>
        <v>12</v>
      </c>
    </row>
    <row r="345" spans="5:9" x14ac:dyDescent="0.25">
      <c r="E345" s="4" t="s">
        <v>494</v>
      </c>
      <c r="F345" s="5">
        <v>150</v>
      </c>
      <c r="G345" s="20">
        <v>100</v>
      </c>
      <c r="H345" s="34">
        <f t="shared" si="5"/>
        <v>50</v>
      </c>
    </row>
    <row r="346" spans="5:9" x14ac:dyDescent="0.25">
      <c r="E346" s="4" t="s">
        <v>754</v>
      </c>
      <c r="F346" s="5">
        <v>50</v>
      </c>
      <c r="H346" s="34">
        <f t="shared" si="5"/>
        <v>50</v>
      </c>
    </row>
    <row r="347" spans="5:9" x14ac:dyDescent="0.25">
      <c r="E347" s="4" t="s">
        <v>755</v>
      </c>
      <c r="F347" s="5">
        <v>121.25</v>
      </c>
      <c r="G347" s="20">
        <v>120.75</v>
      </c>
      <c r="H347" s="34">
        <f t="shared" ref="H347:H420" si="6">IFERROR(F347-G347, " ")</f>
        <v>0.5</v>
      </c>
    </row>
    <row r="348" spans="5:9" x14ac:dyDescent="0.25">
      <c r="E348" s="4" t="s">
        <v>756</v>
      </c>
      <c r="F348" s="5">
        <v>113.4</v>
      </c>
      <c r="H348" s="34">
        <f t="shared" si="6"/>
        <v>113.4</v>
      </c>
    </row>
    <row r="349" spans="5:9" x14ac:dyDescent="0.25">
      <c r="E349" s="4" t="s">
        <v>757</v>
      </c>
      <c r="F349" s="5">
        <v>49.13</v>
      </c>
      <c r="H349" s="34">
        <f t="shared" si="6"/>
        <v>49.13</v>
      </c>
    </row>
    <row r="350" spans="5:9" x14ac:dyDescent="0.25">
      <c r="E350" s="4" t="s">
        <v>758</v>
      </c>
      <c r="F350" s="5">
        <v>12.3</v>
      </c>
      <c r="H350" s="34">
        <f t="shared" si="6"/>
        <v>12.3</v>
      </c>
    </row>
    <row r="351" spans="5:9" x14ac:dyDescent="0.25">
      <c r="E351" s="4" t="s">
        <v>759</v>
      </c>
      <c r="F351" s="5">
        <v>955.48</v>
      </c>
      <c r="H351" s="34">
        <f t="shared" si="6"/>
        <v>955.48</v>
      </c>
      <c r="I351" s="48" t="s">
        <v>910</v>
      </c>
    </row>
    <row r="352" spans="5:9" x14ac:dyDescent="0.25">
      <c r="E352" s="4" t="s">
        <v>760</v>
      </c>
      <c r="F352" s="5">
        <f>43.2+7</f>
        <v>50.2</v>
      </c>
      <c r="G352" s="20">
        <v>31.92</v>
      </c>
      <c r="H352" s="34">
        <f t="shared" si="6"/>
        <v>18.28</v>
      </c>
    </row>
    <row r="353" spans="2:10" ht="15" thickBot="1" x14ac:dyDescent="0.3">
      <c r="E353" s="4" t="s">
        <v>718</v>
      </c>
      <c r="F353" s="6">
        <v>42.52</v>
      </c>
      <c r="G353" s="21"/>
      <c r="H353" s="25">
        <f t="shared" si="6"/>
        <v>42.52</v>
      </c>
    </row>
    <row r="354" spans="2:10" x14ac:dyDescent="0.25">
      <c r="F354" s="5">
        <f>SUM(F331:F353)</f>
        <v>3135.28</v>
      </c>
      <c r="G354" s="5">
        <f>SUM(G331:G353)</f>
        <v>1328.0500000000002</v>
      </c>
      <c r="H354" s="5">
        <f>SUM(H331:H353)</f>
        <v>1807.2299999999998</v>
      </c>
      <c r="I354" s="31">
        <f>H334+H335+H336+H337+H342+H343+H344+H345+H346+H347+H348+H349+H350+H352+H353</f>
        <v>851.74999999999989</v>
      </c>
      <c r="J354" s="45" t="s">
        <v>941</v>
      </c>
    </row>
    <row r="355" spans="2:10" x14ac:dyDescent="0.25">
      <c r="B355" s="4" t="s">
        <v>735</v>
      </c>
      <c r="C355" s="4" t="s">
        <v>761</v>
      </c>
      <c r="D355" s="4" t="s">
        <v>557</v>
      </c>
      <c r="E355" s="4" t="s">
        <v>191</v>
      </c>
      <c r="F355" s="5">
        <v>1250</v>
      </c>
      <c r="G355" s="20">
        <v>1200</v>
      </c>
      <c r="H355" s="34">
        <f t="shared" si="6"/>
        <v>50</v>
      </c>
    </row>
    <row r="356" spans="2:10" x14ac:dyDescent="0.25">
      <c r="E356" s="4" t="s">
        <v>79</v>
      </c>
      <c r="F356" s="5">
        <v>100</v>
      </c>
      <c r="G356" s="20">
        <f>100</f>
        <v>100</v>
      </c>
      <c r="H356" s="34">
        <f t="shared" si="6"/>
        <v>0</v>
      </c>
    </row>
    <row r="357" spans="2:10" x14ac:dyDescent="0.25">
      <c r="E357" s="4" t="s">
        <v>188</v>
      </c>
      <c r="F357" s="5">
        <v>75</v>
      </c>
      <c r="G357" s="20">
        <f>30.38</f>
        <v>30.38</v>
      </c>
      <c r="H357" s="34">
        <f t="shared" si="6"/>
        <v>44.620000000000005</v>
      </c>
    </row>
    <row r="358" spans="2:10" x14ac:dyDescent="0.25">
      <c r="E358" s="4" t="s">
        <v>762</v>
      </c>
      <c r="F358" s="5">
        <v>135</v>
      </c>
      <c r="H358" s="34">
        <f t="shared" si="6"/>
        <v>135</v>
      </c>
    </row>
    <row r="359" spans="2:10" ht="15" thickBot="1" x14ac:dyDescent="0.3">
      <c r="E359" s="4" t="s">
        <v>752</v>
      </c>
      <c r="F359" s="6">
        <v>50</v>
      </c>
      <c r="G359" s="21"/>
      <c r="H359" s="25">
        <f t="shared" si="6"/>
        <v>50</v>
      </c>
    </row>
    <row r="360" spans="2:10" x14ac:dyDescent="0.25">
      <c r="F360" s="5">
        <f>SUM(F355:F359)</f>
        <v>1610</v>
      </c>
      <c r="G360" s="5">
        <f>SUM(G355:G359)</f>
        <v>1330.38</v>
      </c>
      <c r="H360" s="5">
        <f>SUM(H355:H359)</f>
        <v>279.62</v>
      </c>
    </row>
    <row r="361" spans="2:10" x14ac:dyDescent="0.25">
      <c r="B361" s="4" t="s">
        <v>555</v>
      </c>
      <c r="C361" s="4" t="s">
        <v>766</v>
      </c>
      <c r="D361" s="4" t="s">
        <v>557</v>
      </c>
      <c r="E361" s="4" t="s">
        <v>764</v>
      </c>
      <c r="F361" s="5">
        <v>100</v>
      </c>
      <c r="G361" s="20">
        <v>100</v>
      </c>
      <c r="H361" s="34">
        <f t="shared" si="6"/>
        <v>0</v>
      </c>
    </row>
    <row r="362" spans="2:10" ht="15" thickBot="1" x14ac:dyDescent="0.3">
      <c r="E362" s="4" t="s">
        <v>765</v>
      </c>
      <c r="F362" s="6">
        <v>9.32</v>
      </c>
      <c r="G362" s="21">
        <v>9.32</v>
      </c>
      <c r="H362" s="25">
        <f t="shared" si="6"/>
        <v>0</v>
      </c>
    </row>
    <row r="363" spans="2:10" x14ac:dyDescent="0.25">
      <c r="F363" s="5">
        <f>SUM(F361:F362)</f>
        <v>109.32</v>
      </c>
      <c r="G363" s="5">
        <f>SUM(G361:G362)</f>
        <v>109.32</v>
      </c>
      <c r="H363" s="5">
        <f>SUM(H361:H362)</f>
        <v>0</v>
      </c>
    </row>
    <row r="364" spans="2:10" ht="15" thickBot="1" x14ac:dyDescent="0.3">
      <c r="B364" s="4" t="s">
        <v>555</v>
      </c>
      <c r="C364" s="4" t="s">
        <v>763</v>
      </c>
      <c r="D364" s="4" t="s">
        <v>557</v>
      </c>
      <c r="E364" s="4" t="s">
        <v>765</v>
      </c>
      <c r="F364" s="6">
        <v>18.920000000000002</v>
      </c>
      <c r="G364" s="21">
        <f>4.76+19.78-9.32+1.49</f>
        <v>16.709999999999997</v>
      </c>
      <c r="H364" s="25">
        <f t="shared" si="6"/>
        <v>2.2100000000000044</v>
      </c>
    </row>
    <row r="365" spans="2:10" x14ac:dyDescent="0.25">
      <c r="F365" s="5">
        <f>SUM(F364)</f>
        <v>18.920000000000002</v>
      </c>
      <c r="G365" s="5">
        <f>SUM(G364)</f>
        <v>16.709999999999997</v>
      </c>
      <c r="H365" s="5">
        <f>SUM(H364)</f>
        <v>2.2100000000000044</v>
      </c>
    </row>
    <row r="366" spans="2:10" x14ac:dyDescent="0.25">
      <c r="B366" s="4" t="s">
        <v>404</v>
      </c>
      <c r="C366" s="4" t="s">
        <v>767</v>
      </c>
      <c r="D366" s="4" t="s">
        <v>443</v>
      </c>
      <c r="E366" s="4" t="s">
        <v>768</v>
      </c>
      <c r="F366" s="5">
        <v>125</v>
      </c>
      <c r="H366" s="34">
        <f t="shared" si="6"/>
        <v>125</v>
      </c>
    </row>
    <row r="367" spans="2:10" x14ac:dyDescent="0.25">
      <c r="E367" s="4" t="s">
        <v>769</v>
      </c>
      <c r="F367" s="5">
        <v>90</v>
      </c>
      <c r="H367" s="34">
        <f t="shared" si="6"/>
        <v>90</v>
      </c>
    </row>
    <row r="368" spans="2:10" x14ac:dyDescent="0.25">
      <c r="E368" s="4" t="s">
        <v>770</v>
      </c>
      <c r="F368" s="5">
        <v>170</v>
      </c>
      <c r="H368" s="34">
        <f t="shared" si="6"/>
        <v>170</v>
      </c>
    </row>
    <row r="369" spans="2:10" x14ac:dyDescent="0.25">
      <c r="E369" s="4" t="s">
        <v>771</v>
      </c>
      <c r="F369" s="5">
        <v>13.99</v>
      </c>
      <c r="H369" s="34">
        <f t="shared" si="6"/>
        <v>13.99</v>
      </c>
    </row>
    <row r="370" spans="2:10" x14ac:dyDescent="0.25">
      <c r="E370" s="4" t="s">
        <v>772</v>
      </c>
      <c r="F370" s="5">
        <v>19.5</v>
      </c>
      <c r="H370" s="34">
        <f t="shared" si="6"/>
        <v>19.5</v>
      </c>
    </row>
    <row r="371" spans="2:10" ht="15" thickBot="1" x14ac:dyDescent="0.3">
      <c r="E371" s="4" t="s">
        <v>773</v>
      </c>
      <c r="F371" s="6">
        <v>20</v>
      </c>
      <c r="G371" s="21"/>
      <c r="H371" s="25">
        <f t="shared" si="6"/>
        <v>20</v>
      </c>
    </row>
    <row r="372" spans="2:10" x14ac:dyDescent="0.25">
      <c r="F372" s="5">
        <f>SUM(F366:F371)</f>
        <v>438.49</v>
      </c>
      <c r="G372" s="5">
        <f>SUM(G366:G371)</f>
        <v>0</v>
      </c>
      <c r="H372" s="5">
        <f>SUM(H366:H371)</f>
        <v>438.49</v>
      </c>
      <c r="I372" s="51" t="s">
        <v>1085</v>
      </c>
      <c r="J372" s="36">
        <f>H372</f>
        <v>438.49</v>
      </c>
    </row>
    <row r="373" spans="2:10" x14ac:dyDescent="0.25">
      <c r="B373" s="4" t="s">
        <v>774</v>
      </c>
      <c r="C373" s="4" t="s">
        <v>775</v>
      </c>
      <c r="D373" s="4" t="s">
        <v>443</v>
      </c>
      <c r="E373" s="4" t="s">
        <v>776</v>
      </c>
      <c r="F373" s="5">
        <v>600</v>
      </c>
      <c r="G373" s="20">
        <v>600</v>
      </c>
      <c r="H373" s="34">
        <f t="shared" si="6"/>
        <v>0</v>
      </c>
    </row>
    <row r="374" spans="2:10" x14ac:dyDescent="0.25">
      <c r="E374" s="4" t="s">
        <v>777</v>
      </c>
      <c r="F374" s="5">
        <v>88</v>
      </c>
      <c r="G374" s="20">
        <v>88</v>
      </c>
      <c r="H374" s="34">
        <f t="shared" si="6"/>
        <v>0</v>
      </c>
    </row>
    <row r="375" spans="2:10" x14ac:dyDescent="0.25">
      <c r="E375" s="4" t="s">
        <v>521</v>
      </c>
      <c r="F375" s="5">
        <v>79</v>
      </c>
      <c r="G375" s="20">
        <v>79</v>
      </c>
      <c r="H375" s="34">
        <f t="shared" si="6"/>
        <v>0</v>
      </c>
    </row>
    <row r="376" spans="2:10" ht="15" thickBot="1" x14ac:dyDescent="0.3">
      <c r="E376" s="4" t="s">
        <v>778</v>
      </c>
      <c r="F376" s="6">
        <v>150</v>
      </c>
      <c r="G376" s="21">
        <v>150</v>
      </c>
      <c r="H376" s="25">
        <f t="shared" si="6"/>
        <v>0</v>
      </c>
    </row>
    <row r="377" spans="2:10" x14ac:dyDescent="0.25">
      <c r="F377" s="5">
        <f>SUM(F373:F376)</f>
        <v>917</v>
      </c>
      <c r="G377" s="5">
        <f>SUM(G373:G376)</f>
        <v>917</v>
      </c>
      <c r="H377" s="34">
        <f t="shared" si="6"/>
        <v>0</v>
      </c>
    </row>
    <row r="378" spans="2:10" x14ac:dyDescent="0.25">
      <c r="B378" s="4" t="s">
        <v>779</v>
      </c>
      <c r="C378" s="4" t="s">
        <v>780</v>
      </c>
      <c r="D378" s="4" t="s">
        <v>443</v>
      </c>
      <c r="E378" s="4" t="s">
        <v>781</v>
      </c>
      <c r="F378" s="5">
        <v>4000</v>
      </c>
      <c r="G378" s="20">
        <v>4000</v>
      </c>
      <c r="H378" s="34">
        <f t="shared" si="6"/>
        <v>0</v>
      </c>
    </row>
    <row r="379" spans="2:10" x14ac:dyDescent="0.25">
      <c r="E379" s="4" t="s">
        <v>726</v>
      </c>
      <c r="F379" s="5">
        <v>389</v>
      </c>
      <c r="H379" s="34">
        <f t="shared" si="6"/>
        <v>389</v>
      </c>
    </row>
    <row r="380" spans="2:10" x14ac:dyDescent="0.25">
      <c r="E380" s="4" t="s">
        <v>762</v>
      </c>
      <c r="F380" s="5">
        <v>242.4</v>
      </c>
      <c r="H380" s="34">
        <f t="shared" si="6"/>
        <v>242.4</v>
      </c>
    </row>
    <row r="381" spans="2:10" ht="15" thickBot="1" x14ac:dyDescent="0.3">
      <c r="E381" s="4" t="s">
        <v>782</v>
      </c>
      <c r="F381" s="6">
        <v>8</v>
      </c>
      <c r="G381" s="21"/>
      <c r="H381" s="25">
        <f t="shared" si="6"/>
        <v>8</v>
      </c>
    </row>
    <row r="382" spans="2:10" x14ac:dyDescent="0.25">
      <c r="F382" s="5">
        <f>SUM(F378:F381)</f>
        <v>4639.3999999999996</v>
      </c>
      <c r="G382" s="5">
        <f>SUM(G378:G381)</f>
        <v>4000</v>
      </c>
      <c r="H382" s="5">
        <f>SUM(H378:H381)</f>
        <v>639.4</v>
      </c>
    </row>
    <row r="383" spans="2:10" x14ac:dyDescent="0.25">
      <c r="B383" s="4" t="s">
        <v>783</v>
      </c>
      <c r="C383" s="4" t="s">
        <v>784</v>
      </c>
      <c r="D383" s="4" t="s">
        <v>651</v>
      </c>
      <c r="E383" s="4" t="s">
        <v>785</v>
      </c>
      <c r="F383" s="5">
        <v>8394.9</v>
      </c>
      <c r="H383" s="34">
        <f t="shared" si="6"/>
        <v>8394.9</v>
      </c>
    </row>
    <row r="384" spans="2:10" x14ac:dyDescent="0.25">
      <c r="E384" s="4" t="s">
        <v>786</v>
      </c>
      <c r="F384" s="5">
        <v>100</v>
      </c>
      <c r="H384" s="34">
        <f t="shared" si="6"/>
        <v>100</v>
      </c>
    </row>
    <row r="385" spans="2:10" ht="15" thickBot="1" x14ac:dyDescent="0.3">
      <c r="E385" s="4" t="s">
        <v>652</v>
      </c>
      <c r="F385" s="6">
        <v>2000</v>
      </c>
      <c r="G385" s="21">
        <v>2000</v>
      </c>
      <c r="H385" s="25">
        <f t="shared" si="6"/>
        <v>0</v>
      </c>
    </row>
    <row r="386" spans="2:10" x14ac:dyDescent="0.25">
      <c r="F386" s="5">
        <f>SUM(F383:F385)</f>
        <v>10494.9</v>
      </c>
      <c r="G386" s="5">
        <f>SUM(G383:G385)</f>
        <v>2000</v>
      </c>
      <c r="H386" s="5">
        <f>SUM(H383:H385)</f>
        <v>8494.9</v>
      </c>
    </row>
    <row r="387" spans="2:10" x14ac:dyDescent="0.25">
      <c r="B387" s="4" t="s">
        <v>207</v>
      </c>
      <c r="C387" s="4" t="s">
        <v>787</v>
      </c>
      <c r="D387" s="4" t="s">
        <v>443</v>
      </c>
      <c r="E387" s="4" t="s">
        <v>788</v>
      </c>
      <c r="F387" s="5">
        <v>4995</v>
      </c>
      <c r="G387" s="20">
        <v>4995</v>
      </c>
      <c r="H387" s="34">
        <f t="shared" si="6"/>
        <v>0</v>
      </c>
    </row>
    <row r="388" spans="2:10" x14ac:dyDescent="0.25">
      <c r="E388" s="4" t="s">
        <v>191</v>
      </c>
      <c r="F388" s="5">
        <v>1737.08</v>
      </c>
      <c r="G388" s="20">
        <f>1399.5+257.25</f>
        <v>1656.75</v>
      </c>
      <c r="H388" s="34">
        <f t="shared" si="6"/>
        <v>80.329999999999927</v>
      </c>
      <c r="I388" s="51" t="s">
        <v>1085</v>
      </c>
    </row>
    <row r="389" spans="2:10" x14ac:dyDescent="0.25">
      <c r="E389" s="4" t="s">
        <v>534</v>
      </c>
      <c r="F389" s="5">
        <v>241.74</v>
      </c>
      <c r="G389" s="20">
        <v>241.74</v>
      </c>
      <c r="H389" s="34">
        <f t="shared" si="6"/>
        <v>0</v>
      </c>
    </row>
    <row r="390" spans="2:10" x14ac:dyDescent="0.25">
      <c r="E390" s="4" t="s">
        <v>479</v>
      </c>
      <c r="F390" s="5">
        <v>200</v>
      </c>
      <c r="H390" s="34">
        <f t="shared" si="6"/>
        <v>200</v>
      </c>
    </row>
    <row r="391" spans="2:10" x14ac:dyDescent="0.25">
      <c r="E391" s="4" t="s">
        <v>789</v>
      </c>
      <c r="F391" s="5">
        <v>2590</v>
      </c>
      <c r="G391" s="20">
        <v>2590</v>
      </c>
      <c r="H391" s="34">
        <f t="shared" si="6"/>
        <v>0</v>
      </c>
    </row>
    <row r="392" spans="2:10" x14ac:dyDescent="0.25">
      <c r="E392" s="4" t="s">
        <v>790</v>
      </c>
      <c r="F392" s="5">
        <v>7670</v>
      </c>
      <c r="G392" s="20">
        <f>7295</f>
        <v>7295</v>
      </c>
      <c r="H392" s="34">
        <f t="shared" si="6"/>
        <v>375</v>
      </c>
      <c r="I392" s="51" t="s">
        <v>1085</v>
      </c>
    </row>
    <row r="393" spans="2:10" x14ac:dyDescent="0.25">
      <c r="E393" s="4" t="s">
        <v>791</v>
      </c>
      <c r="F393" s="32">
        <f>1400+768.6+4704</f>
        <v>6872.6</v>
      </c>
      <c r="G393" s="33"/>
      <c r="H393" s="34">
        <f t="shared" si="6"/>
        <v>6872.6</v>
      </c>
    </row>
    <row r="394" spans="2:10" ht="15" thickBot="1" x14ac:dyDescent="0.3">
      <c r="E394" s="4" t="s">
        <v>912</v>
      </c>
      <c r="F394" s="6">
        <v>300</v>
      </c>
      <c r="G394" s="21"/>
      <c r="H394" s="21">
        <f t="shared" si="6"/>
        <v>300</v>
      </c>
      <c r="I394" s="51" t="s">
        <v>1085</v>
      </c>
      <c r="J394" s="36">
        <f>H388+H392+H394</f>
        <v>755.32999999999993</v>
      </c>
    </row>
    <row r="395" spans="2:10" x14ac:dyDescent="0.25">
      <c r="F395" s="5">
        <f>SUM(F387:F394)</f>
        <v>24606.42</v>
      </c>
      <c r="G395" s="5">
        <f>SUM(G387:G393)</f>
        <v>16778.489999999998</v>
      </c>
      <c r="H395" s="5">
        <f>SUM(H387:H393)</f>
        <v>7527.93</v>
      </c>
    </row>
    <row r="396" spans="2:10" x14ac:dyDescent="0.25">
      <c r="B396" s="4" t="s">
        <v>854</v>
      </c>
      <c r="C396" s="4" t="s">
        <v>855</v>
      </c>
      <c r="D396" s="4" t="s">
        <v>651</v>
      </c>
      <c r="E396" s="4" t="s">
        <v>608</v>
      </c>
      <c r="F396" s="5">
        <v>650</v>
      </c>
      <c r="G396" s="5">
        <v>600</v>
      </c>
      <c r="H396" s="34">
        <f t="shared" si="6"/>
        <v>50</v>
      </c>
    </row>
    <row r="397" spans="2:10" x14ac:dyDescent="0.25">
      <c r="E397" s="4" t="s">
        <v>856</v>
      </c>
      <c r="F397" s="5">
        <f>4132.5+868.83</f>
        <v>5001.33</v>
      </c>
      <c r="G397" s="5">
        <v>2500</v>
      </c>
      <c r="H397" s="34">
        <f t="shared" si="6"/>
        <v>2501.33</v>
      </c>
    </row>
    <row r="398" spans="2:10" x14ac:dyDescent="0.25">
      <c r="E398" s="4" t="s">
        <v>668</v>
      </c>
      <c r="F398" s="5">
        <v>506.25</v>
      </c>
      <c r="G398" s="5">
        <v>525</v>
      </c>
      <c r="H398" s="34">
        <f t="shared" si="6"/>
        <v>-18.75</v>
      </c>
    </row>
    <row r="399" spans="2:10" x14ac:dyDescent="0.25">
      <c r="E399" s="4" t="s">
        <v>857</v>
      </c>
      <c r="F399" s="5">
        <v>3437</v>
      </c>
      <c r="G399" s="5">
        <v>2400</v>
      </c>
      <c r="H399" s="34">
        <f t="shared" si="6"/>
        <v>1037</v>
      </c>
    </row>
    <row r="400" spans="2:10" x14ac:dyDescent="0.25">
      <c r="E400" s="4" t="s">
        <v>665</v>
      </c>
      <c r="F400" s="5">
        <v>446.25</v>
      </c>
      <c r="G400" s="5">
        <v>425</v>
      </c>
      <c r="H400" s="34">
        <f t="shared" si="6"/>
        <v>21.25</v>
      </c>
    </row>
    <row r="401" spans="1:10" x14ac:dyDescent="0.25">
      <c r="E401" s="4" t="s">
        <v>858</v>
      </c>
      <c r="F401" s="5">
        <f>17.98+17.981798+119.92+45+21.89</f>
        <v>222.77179799999999</v>
      </c>
      <c r="G401" s="4">
        <v>222.77</v>
      </c>
      <c r="H401" s="34">
        <f t="shared" si="6"/>
        <v>1.7979999999795382E-3</v>
      </c>
    </row>
    <row r="402" spans="1:10" x14ac:dyDescent="0.25">
      <c r="E402" s="4" t="s">
        <v>562</v>
      </c>
      <c r="F402" s="5">
        <v>45</v>
      </c>
      <c r="G402" s="5">
        <v>45</v>
      </c>
      <c r="H402" s="34">
        <f t="shared" si="6"/>
        <v>0</v>
      </c>
    </row>
    <row r="403" spans="1:10" ht="15" thickBot="1" x14ac:dyDescent="0.3">
      <c r="E403" s="4" t="s">
        <v>859</v>
      </c>
      <c r="F403" s="6">
        <v>113</v>
      </c>
      <c r="G403" s="6">
        <v>113</v>
      </c>
      <c r="H403" s="25">
        <f t="shared" si="6"/>
        <v>0</v>
      </c>
      <c r="I403" s="5"/>
    </row>
    <row r="404" spans="1:10" x14ac:dyDescent="0.25">
      <c r="F404" s="5">
        <f>SUM(F396:F403)</f>
        <v>10421.601798</v>
      </c>
      <c r="G404" s="5">
        <f>SUM(G396:G403)</f>
        <v>6830.77</v>
      </c>
      <c r="H404" s="5">
        <f>SUM(H396:H403)</f>
        <v>3590.8317979999997</v>
      </c>
      <c r="I404" s="31">
        <f>H404</f>
        <v>3590.8317979999997</v>
      </c>
      <c r="J404" s="45" t="s">
        <v>941</v>
      </c>
    </row>
    <row r="405" spans="1:10" ht="15" thickBot="1" x14ac:dyDescent="0.3">
      <c r="A405" s="22">
        <v>42312</v>
      </c>
      <c r="B405" s="4" t="s">
        <v>829</v>
      </c>
      <c r="C405" s="4" t="s">
        <v>830</v>
      </c>
      <c r="D405" s="4" t="s">
        <v>443</v>
      </c>
      <c r="E405" s="4" t="s">
        <v>831</v>
      </c>
      <c r="F405" s="6">
        <v>198.66</v>
      </c>
      <c r="G405" s="21"/>
      <c r="H405" s="25">
        <f t="shared" si="6"/>
        <v>198.66</v>
      </c>
    </row>
    <row r="406" spans="1:10" x14ac:dyDescent="0.25">
      <c r="F406" s="5">
        <f>SUM(F405)</f>
        <v>198.66</v>
      </c>
      <c r="H406" s="34">
        <f t="shared" si="6"/>
        <v>198.66</v>
      </c>
    </row>
    <row r="407" spans="1:10" ht="15" thickBot="1" x14ac:dyDescent="0.3">
      <c r="B407" s="4" t="s">
        <v>832</v>
      </c>
      <c r="C407" s="4" t="s">
        <v>833</v>
      </c>
      <c r="D407" s="4" t="s">
        <v>443</v>
      </c>
      <c r="E407" s="4" t="s">
        <v>834</v>
      </c>
      <c r="F407" s="6">
        <v>250</v>
      </c>
      <c r="G407" s="21">
        <v>250</v>
      </c>
      <c r="H407" s="25">
        <f t="shared" si="6"/>
        <v>0</v>
      </c>
    </row>
    <row r="408" spans="1:10" x14ac:dyDescent="0.25">
      <c r="F408" s="5">
        <f>SUM(F407)</f>
        <v>250</v>
      </c>
      <c r="G408" s="5">
        <f>SUM(G407)</f>
        <v>250</v>
      </c>
      <c r="H408" s="5">
        <f>SUM(H407)</f>
        <v>0</v>
      </c>
    </row>
    <row r="409" spans="1:10" ht="15" thickBot="1" x14ac:dyDescent="0.3">
      <c r="B409" s="4" t="s">
        <v>835</v>
      </c>
      <c r="C409" s="4" t="s">
        <v>836</v>
      </c>
      <c r="D409" s="4" t="s">
        <v>651</v>
      </c>
      <c r="E409" s="4" t="s">
        <v>837</v>
      </c>
      <c r="F409" s="6">
        <v>2064.6999999999998</v>
      </c>
      <c r="G409" s="21">
        <v>885</v>
      </c>
      <c r="H409" s="25">
        <f t="shared" si="6"/>
        <v>1179.6999999999998</v>
      </c>
    </row>
    <row r="410" spans="1:10" x14ac:dyDescent="0.25">
      <c r="F410" s="5">
        <f>SUM(F409)</f>
        <v>2064.6999999999998</v>
      </c>
      <c r="G410" s="5">
        <f>SUM(G409)</f>
        <v>885</v>
      </c>
      <c r="H410" s="5">
        <f>SUM(H409)</f>
        <v>1179.6999999999998</v>
      </c>
    </row>
    <row r="411" spans="1:10" x14ac:dyDescent="0.25">
      <c r="B411" s="4" t="s">
        <v>838</v>
      </c>
      <c r="C411" s="4" t="s">
        <v>839</v>
      </c>
      <c r="D411" s="4" t="s">
        <v>443</v>
      </c>
      <c r="E411" s="4" t="s">
        <v>840</v>
      </c>
      <c r="F411" s="5">
        <v>3975</v>
      </c>
      <c r="G411" s="20">
        <v>3975</v>
      </c>
      <c r="H411" s="34">
        <f t="shared" si="6"/>
        <v>0</v>
      </c>
    </row>
    <row r="412" spans="1:10" x14ac:dyDescent="0.25">
      <c r="E412" s="4" t="s">
        <v>841</v>
      </c>
      <c r="F412" s="5">
        <v>3600</v>
      </c>
      <c r="G412" s="20">
        <v>3600</v>
      </c>
      <c r="H412" s="34">
        <f t="shared" si="6"/>
        <v>0</v>
      </c>
    </row>
    <row r="413" spans="1:10" x14ac:dyDescent="0.25">
      <c r="E413" s="4" t="s">
        <v>842</v>
      </c>
      <c r="F413" s="5">
        <v>3000</v>
      </c>
      <c r="G413" s="20">
        <v>3000</v>
      </c>
      <c r="H413" s="34">
        <f t="shared" si="6"/>
        <v>0</v>
      </c>
    </row>
    <row r="414" spans="1:10" x14ac:dyDescent="0.25">
      <c r="E414" s="4" t="s">
        <v>843</v>
      </c>
      <c r="F414" s="5">
        <v>1895</v>
      </c>
      <c r="G414" s="20">
        <v>1895</v>
      </c>
      <c r="H414" s="34">
        <f t="shared" si="6"/>
        <v>0</v>
      </c>
    </row>
    <row r="415" spans="1:10" x14ac:dyDescent="0.25">
      <c r="E415" s="4" t="s">
        <v>188</v>
      </c>
      <c r="F415" s="5">
        <v>1855.7</v>
      </c>
      <c r="G415" s="20">
        <f>1581.13+224</f>
        <v>1805.13</v>
      </c>
      <c r="H415" s="34">
        <f t="shared" si="6"/>
        <v>50.569999999999936</v>
      </c>
      <c r="I415" s="51" t="s">
        <v>1085</v>
      </c>
    </row>
    <row r="416" spans="1:10" x14ac:dyDescent="0.25">
      <c r="E416" s="4" t="s">
        <v>844</v>
      </c>
      <c r="F416" s="5">
        <v>1595</v>
      </c>
      <c r="G416" s="20">
        <v>1595</v>
      </c>
      <c r="H416" s="34">
        <f t="shared" si="6"/>
        <v>0</v>
      </c>
    </row>
    <row r="417" spans="1:10" x14ac:dyDescent="0.25">
      <c r="E417" s="4" t="s">
        <v>845</v>
      </c>
      <c r="F417" s="5">
        <v>1500</v>
      </c>
      <c r="G417" s="20">
        <f>174.96+1004.59</f>
        <v>1179.55</v>
      </c>
      <c r="H417" s="34">
        <f t="shared" si="6"/>
        <v>320.45000000000005</v>
      </c>
      <c r="I417" s="51" t="s">
        <v>1085</v>
      </c>
    </row>
    <row r="418" spans="1:10" x14ac:dyDescent="0.25">
      <c r="E418" s="4" t="s">
        <v>846</v>
      </c>
      <c r="F418" s="5">
        <v>1450</v>
      </c>
      <c r="H418" s="34">
        <f t="shared" si="6"/>
        <v>1450</v>
      </c>
    </row>
    <row r="419" spans="1:10" x14ac:dyDescent="0.25">
      <c r="E419" s="4" t="s">
        <v>847</v>
      </c>
      <c r="F419" s="5">
        <v>1400</v>
      </c>
      <c r="G419" s="20">
        <v>1100</v>
      </c>
      <c r="H419" s="34">
        <f t="shared" si="6"/>
        <v>300</v>
      </c>
      <c r="I419" s="51" t="s">
        <v>1085</v>
      </c>
    </row>
    <row r="420" spans="1:10" x14ac:dyDescent="0.25">
      <c r="E420" s="4" t="s">
        <v>848</v>
      </c>
      <c r="F420" s="5">
        <v>1140</v>
      </c>
      <c r="G420" s="20">
        <v>1100</v>
      </c>
      <c r="H420" s="34">
        <f t="shared" si="6"/>
        <v>40</v>
      </c>
      <c r="I420" s="51" t="s">
        <v>1085</v>
      </c>
    </row>
    <row r="421" spans="1:10" x14ac:dyDescent="0.25">
      <c r="E421" s="4" t="s">
        <v>669</v>
      </c>
      <c r="F421" s="5">
        <v>960</v>
      </c>
      <c r="G421" s="20">
        <f>198.28</f>
        <v>198.28</v>
      </c>
      <c r="H421" s="34">
        <f t="shared" ref="H421:H450" si="7">IFERROR(F421-G421, " ")</f>
        <v>761.72</v>
      </c>
      <c r="I421" s="51" t="s">
        <v>1085</v>
      </c>
    </row>
    <row r="422" spans="1:10" x14ac:dyDescent="0.25">
      <c r="E422" s="4" t="s">
        <v>478</v>
      </c>
      <c r="F422" s="5">
        <v>310</v>
      </c>
      <c r="H422" s="34">
        <f t="shared" si="7"/>
        <v>310</v>
      </c>
    </row>
    <row r="423" spans="1:10" x14ac:dyDescent="0.25">
      <c r="E423" s="4" t="s">
        <v>356</v>
      </c>
      <c r="F423" s="5">
        <v>300</v>
      </c>
      <c r="G423" s="20">
        <f>197.78</f>
        <v>197.78</v>
      </c>
      <c r="H423" s="34">
        <f t="shared" si="7"/>
        <v>102.22</v>
      </c>
      <c r="I423" s="51" t="s">
        <v>1085</v>
      </c>
    </row>
    <row r="424" spans="1:10" x14ac:dyDescent="0.25">
      <c r="E424" s="4" t="s">
        <v>671</v>
      </c>
      <c r="F424" s="5">
        <v>300</v>
      </c>
      <c r="H424" s="34">
        <f t="shared" si="7"/>
        <v>300</v>
      </c>
    </row>
    <row r="425" spans="1:10" x14ac:dyDescent="0.25">
      <c r="E425" s="4" t="s">
        <v>849</v>
      </c>
      <c r="F425" s="5">
        <v>250</v>
      </c>
      <c r="H425" s="34">
        <f t="shared" si="7"/>
        <v>250</v>
      </c>
      <c r="I425" s="51" t="s">
        <v>1085</v>
      </c>
    </row>
    <row r="426" spans="1:10" x14ac:dyDescent="0.25">
      <c r="E426" s="4" t="s">
        <v>850</v>
      </c>
      <c r="F426" s="5">
        <v>150</v>
      </c>
      <c r="G426" s="20">
        <v>101.25</v>
      </c>
      <c r="H426" s="34">
        <f t="shared" si="7"/>
        <v>48.75</v>
      </c>
      <c r="I426" s="51" t="s">
        <v>1085</v>
      </c>
    </row>
    <row r="427" spans="1:10" x14ac:dyDescent="0.25">
      <c r="E427" s="4" t="s">
        <v>851</v>
      </c>
      <c r="F427" s="5">
        <v>150</v>
      </c>
      <c r="H427" s="34">
        <f t="shared" si="7"/>
        <v>150</v>
      </c>
      <c r="I427" s="51" t="s">
        <v>1085</v>
      </c>
      <c r="J427" s="36">
        <f>H415+H417+H419+H420+H421+H423+H425+H426+H427</f>
        <v>2023.71</v>
      </c>
    </row>
    <row r="428" spans="1:10" x14ac:dyDescent="0.25">
      <c r="F428" s="5">
        <f>SUM(F411:F427)</f>
        <v>23830.7</v>
      </c>
      <c r="G428" s="5">
        <f>SUM(G411:G427)</f>
        <v>19746.989999999998</v>
      </c>
      <c r="H428" s="5">
        <f>SUM(H411:H427)</f>
        <v>4083.7099999999996</v>
      </c>
    </row>
    <row r="429" spans="1:10" ht="15" thickBot="1" x14ac:dyDescent="0.3">
      <c r="A429" s="22">
        <v>42319</v>
      </c>
      <c r="B429" s="4" t="s">
        <v>649</v>
      </c>
      <c r="C429" s="4" t="s">
        <v>860</v>
      </c>
      <c r="D429" s="4" t="s">
        <v>651</v>
      </c>
      <c r="E429" s="4" t="s">
        <v>861</v>
      </c>
      <c r="F429" s="6">
        <f>600+21.2</f>
        <v>621.20000000000005</v>
      </c>
      <c r="G429" s="21"/>
      <c r="H429" s="25">
        <f t="shared" si="7"/>
        <v>621.20000000000005</v>
      </c>
    </row>
    <row r="430" spans="1:10" x14ac:dyDescent="0.25">
      <c r="F430" s="5">
        <f>SUM(F429)</f>
        <v>621.20000000000005</v>
      </c>
      <c r="G430" s="5">
        <f>SUM(G429)</f>
        <v>0</v>
      </c>
      <c r="H430" s="5">
        <f>SUM(H429)</f>
        <v>621.20000000000005</v>
      </c>
    </row>
    <row r="431" spans="1:10" x14ac:dyDescent="0.25">
      <c r="B431" s="4" t="s">
        <v>862</v>
      </c>
      <c r="C431" s="4" t="s">
        <v>863</v>
      </c>
      <c r="D431" s="4" t="s">
        <v>557</v>
      </c>
      <c r="E431" s="4" t="s">
        <v>191</v>
      </c>
      <c r="F431" s="5">
        <f>339.8+239.8+129.85+109.9+45.6</f>
        <v>864.95</v>
      </c>
      <c r="G431" s="20">
        <v>864.95</v>
      </c>
      <c r="H431" s="34">
        <f t="shared" si="7"/>
        <v>0</v>
      </c>
    </row>
    <row r="432" spans="1:10" x14ac:dyDescent="0.25">
      <c r="E432" s="4" t="s">
        <v>551</v>
      </c>
      <c r="F432" s="5">
        <v>20</v>
      </c>
      <c r="G432" s="20">
        <f>53.8-44</f>
        <v>9.7999999999999972</v>
      </c>
      <c r="H432" s="34">
        <f t="shared" si="7"/>
        <v>10.200000000000003</v>
      </c>
    </row>
    <row r="433" spans="1:10" x14ac:dyDescent="0.25">
      <c r="E433" s="4" t="s">
        <v>864</v>
      </c>
      <c r="F433" s="5">
        <v>44</v>
      </c>
      <c r="G433" s="20">
        <f>44</f>
        <v>44</v>
      </c>
      <c r="H433" s="34">
        <f t="shared" si="7"/>
        <v>0</v>
      </c>
    </row>
    <row r="434" spans="1:10" x14ac:dyDescent="0.25">
      <c r="E434" s="4" t="s">
        <v>865</v>
      </c>
      <c r="F434" s="5">
        <v>20</v>
      </c>
      <c r="G434" s="20">
        <f>7.12</f>
        <v>7.12</v>
      </c>
      <c r="H434" s="34">
        <f t="shared" si="7"/>
        <v>12.879999999999999</v>
      </c>
    </row>
    <row r="435" spans="1:10" x14ac:dyDescent="0.25">
      <c r="E435" s="4" t="s">
        <v>799</v>
      </c>
      <c r="F435" s="5">
        <v>40</v>
      </c>
      <c r="G435" s="20">
        <f>40</f>
        <v>40</v>
      </c>
      <c r="H435" s="34">
        <f t="shared" si="7"/>
        <v>0</v>
      </c>
    </row>
    <row r="436" spans="1:10" x14ac:dyDescent="0.25">
      <c r="E436" s="4" t="s">
        <v>188</v>
      </c>
      <c r="F436" s="5">
        <v>90</v>
      </c>
      <c r="G436" s="20">
        <f>10.35+73.24</f>
        <v>83.589999999999989</v>
      </c>
      <c r="H436" s="34">
        <f t="shared" si="7"/>
        <v>6.4100000000000108</v>
      </c>
    </row>
    <row r="437" spans="1:10" x14ac:dyDescent="0.25">
      <c r="E437" s="4" t="s">
        <v>866</v>
      </c>
      <c r="F437" s="5">
        <v>12</v>
      </c>
      <c r="G437" s="20">
        <v>12</v>
      </c>
      <c r="H437" s="34">
        <f t="shared" si="7"/>
        <v>0</v>
      </c>
    </row>
    <row r="438" spans="1:10" x14ac:dyDescent="0.25">
      <c r="E438" s="4" t="s">
        <v>867</v>
      </c>
      <c r="F438" s="5">
        <v>20</v>
      </c>
      <c r="G438" s="20">
        <f>12</f>
        <v>12</v>
      </c>
      <c r="H438" s="34">
        <f t="shared" si="7"/>
        <v>8</v>
      </c>
    </row>
    <row r="439" spans="1:10" ht="15" thickBot="1" x14ac:dyDescent="0.3">
      <c r="E439" s="4" t="s">
        <v>868</v>
      </c>
      <c r="F439" s="6">
        <v>15</v>
      </c>
      <c r="G439" s="21">
        <v>15</v>
      </c>
      <c r="H439" s="25">
        <f t="shared" si="7"/>
        <v>0</v>
      </c>
    </row>
    <row r="440" spans="1:10" x14ac:dyDescent="0.25">
      <c r="F440" s="5">
        <f>SUM(F431:F439)</f>
        <v>1125.95</v>
      </c>
      <c r="G440" s="5">
        <f>SUM(G431:G439)</f>
        <v>1088.46</v>
      </c>
      <c r="H440" s="5">
        <f>SUM(H431:H439)</f>
        <v>37.490000000000009</v>
      </c>
      <c r="I440" s="51" t="s">
        <v>1085</v>
      </c>
      <c r="J440" s="36">
        <f>H440</f>
        <v>37.490000000000009</v>
      </c>
    </row>
    <row r="441" spans="1:10" x14ac:dyDescent="0.25">
      <c r="B441" s="4" t="s">
        <v>735</v>
      </c>
      <c r="C441" s="4" t="s">
        <v>869</v>
      </c>
      <c r="D441" s="4" t="s">
        <v>557</v>
      </c>
      <c r="E441" s="4" t="s">
        <v>191</v>
      </c>
      <c r="F441" s="5">
        <v>425</v>
      </c>
      <c r="G441" s="20">
        <f>250+38.69</f>
        <v>288.69</v>
      </c>
      <c r="H441" s="34">
        <f t="shared" si="7"/>
        <v>136.31</v>
      </c>
    </row>
    <row r="442" spans="1:10" x14ac:dyDescent="0.25">
      <c r="E442" s="4" t="s">
        <v>188</v>
      </c>
      <c r="F442" s="5">
        <v>20</v>
      </c>
      <c r="H442" s="34">
        <f t="shared" si="7"/>
        <v>20</v>
      </c>
    </row>
    <row r="443" spans="1:10" x14ac:dyDescent="0.25">
      <c r="E443" s="4" t="s">
        <v>799</v>
      </c>
      <c r="F443" s="5">
        <v>50</v>
      </c>
      <c r="G443" s="20">
        <f>38.97</f>
        <v>38.97</v>
      </c>
      <c r="H443" s="34">
        <f t="shared" si="7"/>
        <v>11.030000000000001</v>
      </c>
    </row>
    <row r="444" spans="1:10" ht="15" thickBot="1" x14ac:dyDescent="0.3">
      <c r="E444" s="4" t="s">
        <v>79</v>
      </c>
      <c r="F444" s="6">
        <v>180</v>
      </c>
      <c r="G444" s="21">
        <f>8.9+71.96+95.94</f>
        <v>176.8</v>
      </c>
      <c r="H444" s="25">
        <f t="shared" si="7"/>
        <v>3.1999999999999886</v>
      </c>
    </row>
    <row r="445" spans="1:10" x14ac:dyDescent="0.25">
      <c r="F445" s="5">
        <f>SUM(F441:F444)</f>
        <v>675</v>
      </c>
      <c r="G445" s="5">
        <f>SUM(G441:G444)</f>
        <v>504.46</v>
      </c>
      <c r="H445" s="5">
        <f>SUM(H441:H444)</f>
        <v>170.54</v>
      </c>
    </row>
    <row r="446" spans="1:10" ht="15" thickBot="1" x14ac:dyDescent="0.3">
      <c r="A446" s="22">
        <v>42326</v>
      </c>
      <c r="B446" s="4" t="s">
        <v>354</v>
      </c>
      <c r="C446" s="4" t="s">
        <v>872</v>
      </c>
      <c r="D446" s="4" t="s">
        <v>443</v>
      </c>
      <c r="E446" s="4" t="s">
        <v>831</v>
      </c>
      <c r="F446" s="6">
        <v>3000</v>
      </c>
      <c r="G446" s="21"/>
      <c r="H446" s="25">
        <f t="shared" si="7"/>
        <v>3000</v>
      </c>
    </row>
    <row r="447" spans="1:10" x14ac:dyDescent="0.25">
      <c r="F447" s="5">
        <f>SUM(F446)</f>
        <v>3000</v>
      </c>
      <c r="G447" s="5">
        <f>SUM(G446)</f>
        <v>0</v>
      </c>
      <c r="H447" s="5">
        <f>SUM(H446)</f>
        <v>3000</v>
      </c>
    </row>
    <row r="448" spans="1:10" ht="15" thickBot="1" x14ac:dyDescent="0.3">
      <c r="B448" s="4" t="s">
        <v>377</v>
      </c>
      <c r="C448" s="4" t="s">
        <v>873</v>
      </c>
      <c r="D448" s="4" t="s">
        <v>443</v>
      </c>
      <c r="E448" s="4" t="s">
        <v>387</v>
      </c>
      <c r="F448" s="6">
        <v>43</v>
      </c>
      <c r="G448" s="21"/>
      <c r="H448" s="25">
        <f t="shared" si="7"/>
        <v>43</v>
      </c>
    </row>
    <row r="449" spans="2:8" x14ac:dyDescent="0.25">
      <c r="F449" s="5">
        <f>SUM(F448)</f>
        <v>43</v>
      </c>
      <c r="G449" s="5">
        <f>SUM(G448)</f>
        <v>0</v>
      </c>
      <c r="H449" s="5">
        <f>SUM(H448)</f>
        <v>43</v>
      </c>
    </row>
    <row r="450" spans="2:8" ht="15" thickBot="1" x14ac:dyDescent="0.3">
      <c r="B450" s="4" t="s">
        <v>874</v>
      </c>
      <c r="C450" s="4" t="s">
        <v>875</v>
      </c>
      <c r="D450" s="4" t="s">
        <v>443</v>
      </c>
      <c r="E450" s="4" t="s">
        <v>720</v>
      </c>
      <c r="F450" s="6">
        <v>313</v>
      </c>
      <c r="G450" s="21"/>
      <c r="H450" s="25">
        <f t="shared" si="7"/>
        <v>313</v>
      </c>
    </row>
    <row r="451" spans="2:8" x14ac:dyDescent="0.25">
      <c r="F451" s="5">
        <f>SUM(F450)</f>
        <v>313</v>
      </c>
      <c r="G451" s="5">
        <f>SUM(G450)</f>
        <v>0</v>
      </c>
      <c r="H451" s="5">
        <f>SUM(H450)</f>
        <v>313</v>
      </c>
    </row>
    <row r="452" spans="2:8" ht="15" thickBot="1" x14ac:dyDescent="0.3">
      <c r="B452" s="4" t="s">
        <v>876</v>
      </c>
      <c r="C452" s="4" t="s">
        <v>875</v>
      </c>
      <c r="D452" s="4" t="s">
        <v>443</v>
      </c>
      <c r="E452" s="4" t="s">
        <v>720</v>
      </c>
      <c r="F452" s="6">
        <v>361</v>
      </c>
      <c r="G452" s="21"/>
      <c r="H452" s="25">
        <f t="shared" ref="H452" si="8">IFERROR(F452-G452, " ")</f>
        <v>361</v>
      </c>
    </row>
    <row r="453" spans="2:8" x14ac:dyDescent="0.25">
      <c r="F453" s="5">
        <f>SUM(F452)</f>
        <v>361</v>
      </c>
      <c r="G453" s="5">
        <f>SUM(G452)</f>
        <v>0</v>
      </c>
      <c r="H453" s="5">
        <f>SUM(H452)</f>
        <v>361</v>
      </c>
    </row>
    <row r="454" spans="2:8" x14ac:dyDescent="0.25">
      <c r="B454" s="4" t="s">
        <v>223</v>
      </c>
      <c r="C454" s="4" t="s">
        <v>877</v>
      </c>
      <c r="D454" s="4" t="s">
        <v>443</v>
      </c>
      <c r="E454" s="4" t="s">
        <v>878</v>
      </c>
      <c r="F454" s="5">
        <v>924</v>
      </c>
      <c r="H454" s="34">
        <f t="shared" ref="H454:H458" si="9">IFERROR(F454-G454, " ")</f>
        <v>924</v>
      </c>
    </row>
    <row r="455" spans="2:8" x14ac:dyDescent="0.25">
      <c r="E455" s="4" t="s">
        <v>387</v>
      </c>
      <c r="F455" s="5">
        <v>125.89</v>
      </c>
      <c r="H455" s="34">
        <f t="shared" si="9"/>
        <v>125.89</v>
      </c>
    </row>
    <row r="456" spans="2:8" x14ac:dyDescent="0.25">
      <c r="E456" s="4" t="s">
        <v>188</v>
      </c>
      <c r="F456" s="5">
        <v>100</v>
      </c>
      <c r="H456" s="34">
        <f t="shared" si="9"/>
        <v>100</v>
      </c>
    </row>
    <row r="457" spans="2:8" x14ac:dyDescent="0.25">
      <c r="E457" s="4" t="s">
        <v>879</v>
      </c>
      <c r="F457" s="5">
        <v>60</v>
      </c>
      <c r="H457" s="34">
        <f t="shared" si="9"/>
        <v>60</v>
      </c>
    </row>
    <row r="458" spans="2:8" ht="15" thickBot="1" x14ac:dyDescent="0.3">
      <c r="E458" s="4" t="s">
        <v>79</v>
      </c>
      <c r="F458" s="6">
        <v>100</v>
      </c>
      <c r="G458" s="21"/>
      <c r="H458" s="25">
        <f t="shared" si="9"/>
        <v>100</v>
      </c>
    </row>
    <row r="459" spans="2:8" x14ac:dyDescent="0.25">
      <c r="F459" s="5">
        <f>SUM(F454:F458)</f>
        <v>1309.8900000000001</v>
      </c>
      <c r="G459" s="5">
        <f>SUM(G454:G458)</f>
        <v>0</v>
      </c>
      <c r="H459" s="5">
        <f>SUM(H454:H458)</f>
        <v>1309.8900000000001</v>
      </c>
    </row>
    <row r="460" spans="2:8" x14ac:dyDescent="0.25">
      <c r="B460" s="4" t="s">
        <v>122</v>
      </c>
      <c r="C460" s="4" t="s">
        <v>880</v>
      </c>
      <c r="D460" s="4" t="s">
        <v>443</v>
      </c>
      <c r="E460" s="4" t="s">
        <v>881</v>
      </c>
      <c r="F460" s="5">
        <v>26000</v>
      </c>
      <c r="H460" s="34">
        <f t="shared" ref="H460:H553" si="10">IFERROR(F460-G460, " ")</f>
        <v>26000</v>
      </c>
    </row>
    <row r="461" spans="2:8" x14ac:dyDescent="0.25">
      <c r="E461" s="4" t="s">
        <v>453</v>
      </c>
      <c r="F461" s="5">
        <v>2600</v>
      </c>
      <c r="H461" s="34">
        <f t="shared" si="10"/>
        <v>2600</v>
      </c>
    </row>
    <row r="462" spans="2:8" x14ac:dyDescent="0.25">
      <c r="E462" s="4" t="s">
        <v>145</v>
      </c>
      <c r="F462" s="5">
        <v>600</v>
      </c>
      <c r="H462" s="34">
        <f t="shared" si="10"/>
        <v>600</v>
      </c>
    </row>
    <row r="463" spans="2:8" x14ac:dyDescent="0.25">
      <c r="E463" s="4" t="s">
        <v>454</v>
      </c>
      <c r="F463" s="5">
        <v>696</v>
      </c>
      <c r="H463" s="34">
        <f t="shared" si="10"/>
        <v>696</v>
      </c>
    </row>
    <row r="464" spans="2:8" ht="15" thickBot="1" x14ac:dyDescent="0.3">
      <c r="E464" s="4" t="s">
        <v>146</v>
      </c>
      <c r="F464" s="6">
        <v>200</v>
      </c>
      <c r="G464" s="21"/>
      <c r="H464" s="25">
        <f t="shared" si="10"/>
        <v>200</v>
      </c>
    </row>
    <row r="465" spans="2:9" x14ac:dyDescent="0.25">
      <c r="F465" s="5">
        <f>SUM(F460:F464)</f>
        <v>30096</v>
      </c>
      <c r="G465" s="5">
        <f>SUM(G460:G464)</f>
        <v>0</v>
      </c>
      <c r="H465" s="5">
        <f>SUM(H460:H464)</f>
        <v>30096</v>
      </c>
      <c r="I465" s="45" t="s">
        <v>968</v>
      </c>
    </row>
    <row r="466" spans="2:9" x14ac:dyDescent="0.25">
      <c r="B466" s="4" t="s">
        <v>122</v>
      </c>
      <c r="C466" s="4" t="s">
        <v>882</v>
      </c>
      <c r="D466" s="4" t="s">
        <v>443</v>
      </c>
      <c r="E466" s="4" t="s">
        <v>881</v>
      </c>
      <c r="F466" s="5">
        <v>27000</v>
      </c>
      <c r="G466" s="20">
        <v>25000</v>
      </c>
      <c r="H466" s="34">
        <f t="shared" si="10"/>
        <v>2000</v>
      </c>
    </row>
    <row r="467" spans="2:9" x14ac:dyDescent="0.25">
      <c r="E467" s="4" t="s">
        <v>883</v>
      </c>
      <c r="F467" s="5">
        <v>5000</v>
      </c>
      <c r="H467" s="34">
        <f t="shared" si="10"/>
        <v>5000</v>
      </c>
    </row>
    <row r="468" spans="2:9" x14ac:dyDescent="0.25">
      <c r="E468" s="4" t="s">
        <v>453</v>
      </c>
      <c r="F468" s="5">
        <v>2700</v>
      </c>
      <c r="G468" s="20">
        <v>2500</v>
      </c>
      <c r="H468" s="34">
        <f t="shared" si="10"/>
        <v>200</v>
      </c>
    </row>
    <row r="469" spans="2:9" x14ac:dyDescent="0.25">
      <c r="E469" s="4" t="s">
        <v>145</v>
      </c>
      <c r="F469" s="5">
        <v>2000</v>
      </c>
      <c r="H469" s="34">
        <f t="shared" si="10"/>
        <v>2000</v>
      </c>
    </row>
    <row r="470" spans="2:9" x14ac:dyDescent="0.25">
      <c r="E470" s="4" t="s">
        <v>668</v>
      </c>
      <c r="F470" s="5">
        <v>1025</v>
      </c>
      <c r="G470" s="20">
        <f>1025</f>
        <v>1025</v>
      </c>
      <c r="H470" s="34">
        <f t="shared" si="10"/>
        <v>0</v>
      </c>
    </row>
    <row r="471" spans="2:9" x14ac:dyDescent="0.25">
      <c r="E471" s="4" t="s">
        <v>454</v>
      </c>
      <c r="F471" s="5">
        <v>1160</v>
      </c>
      <c r="H471" s="34">
        <f t="shared" si="10"/>
        <v>1160</v>
      </c>
    </row>
    <row r="472" spans="2:9" x14ac:dyDescent="0.25">
      <c r="E472" s="4" t="s">
        <v>146</v>
      </c>
      <c r="F472" s="5">
        <v>500</v>
      </c>
      <c r="H472" s="34">
        <f t="shared" si="10"/>
        <v>500</v>
      </c>
    </row>
    <row r="473" spans="2:9" x14ac:dyDescent="0.25">
      <c r="E473" s="4" t="s">
        <v>478</v>
      </c>
      <c r="F473" s="5">
        <v>300</v>
      </c>
      <c r="H473" s="34">
        <f t="shared" si="10"/>
        <v>300</v>
      </c>
    </row>
    <row r="474" spans="2:9" x14ac:dyDescent="0.25">
      <c r="E474" s="4" t="s">
        <v>356</v>
      </c>
      <c r="F474" s="5">
        <v>100</v>
      </c>
      <c r="G474" s="20">
        <f>90.19</f>
        <v>90.19</v>
      </c>
      <c r="H474" s="34">
        <f t="shared" si="10"/>
        <v>9.8100000000000023</v>
      </c>
    </row>
    <row r="475" spans="2:9" x14ac:dyDescent="0.25">
      <c r="E475" s="4" t="s">
        <v>673</v>
      </c>
      <c r="F475" s="32">
        <v>100</v>
      </c>
      <c r="G475" s="33"/>
      <c r="H475" s="34">
        <f t="shared" si="10"/>
        <v>100</v>
      </c>
    </row>
    <row r="476" spans="2:9" ht="15" thickBot="1" x14ac:dyDescent="0.3">
      <c r="E476" s="4" t="s">
        <v>891</v>
      </c>
      <c r="F476" s="6">
        <v>-2450</v>
      </c>
      <c r="G476" s="21"/>
      <c r="H476" s="25">
        <f t="shared" si="10"/>
        <v>-2450</v>
      </c>
    </row>
    <row r="477" spans="2:9" x14ac:dyDescent="0.25">
      <c r="F477" s="5">
        <f>SUM(F466:F476)</f>
        <v>37435</v>
      </c>
      <c r="G477" s="5">
        <f>SUM(G466:G476)</f>
        <v>28615.19</v>
      </c>
      <c r="H477" s="5">
        <f>SUM(H466:H476)</f>
        <v>8819.81</v>
      </c>
    </row>
    <row r="478" spans="2:9" x14ac:dyDescent="0.25">
      <c r="B478" s="4" t="s">
        <v>122</v>
      </c>
      <c r="C478" s="4" t="s">
        <v>884</v>
      </c>
      <c r="D478" s="4" t="s">
        <v>443</v>
      </c>
      <c r="E478" s="4" t="s">
        <v>823</v>
      </c>
      <c r="F478" s="5">
        <v>1200</v>
      </c>
      <c r="G478" s="20">
        <f>1195</f>
        <v>1195</v>
      </c>
      <c r="H478" s="34">
        <f t="shared" si="10"/>
        <v>5</v>
      </c>
    </row>
    <row r="479" spans="2:9" x14ac:dyDescent="0.25">
      <c r="E479" s="4" t="s">
        <v>294</v>
      </c>
      <c r="F479" s="5">
        <v>750</v>
      </c>
      <c r="G479" s="20">
        <f>712.5+37.5</f>
        <v>750</v>
      </c>
      <c r="H479" s="34">
        <f t="shared" si="10"/>
        <v>0</v>
      </c>
    </row>
    <row r="480" spans="2:9" x14ac:dyDescent="0.25">
      <c r="E480" s="4" t="s">
        <v>885</v>
      </c>
      <c r="F480" s="5">
        <v>650</v>
      </c>
      <c r="G480" s="20">
        <f>770-82.5-37.5</f>
        <v>650</v>
      </c>
      <c r="H480" s="34">
        <f t="shared" si="10"/>
        <v>0</v>
      </c>
    </row>
    <row r="481" spans="2:9" x14ac:dyDescent="0.25">
      <c r="E481" s="4" t="s">
        <v>389</v>
      </c>
      <c r="F481" s="5">
        <v>500</v>
      </c>
      <c r="G481" s="20">
        <v>500</v>
      </c>
      <c r="H481" s="34">
        <f t="shared" si="10"/>
        <v>0</v>
      </c>
    </row>
    <row r="482" spans="2:9" x14ac:dyDescent="0.25">
      <c r="E482" s="4" t="s">
        <v>886</v>
      </c>
      <c r="F482" s="5">
        <v>300</v>
      </c>
      <c r="G482" s="20">
        <v>300</v>
      </c>
      <c r="H482" s="34">
        <f t="shared" si="10"/>
        <v>0</v>
      </c>
    </row>
    <row r="483" spans="2:9" x14ac:dyDescent="0.25">
      <c r="E483" s="4" t="s">
        <v>887</v>
      </c>
      <c r="F483" s="5">
        <v>150</v>
      </c>
      <c r="G483" s="20">
        <v>150</v>
      </c>
      <c r="H483" s="34">
        <f t="shared" si="10"/>
        <v>0</v>
      </c>
    </row>
    <row r="484" spans="2:9" x14ac:dyDescent="0.25">
      <c r="E484" s="4" t="s">
        <v>387</v>
      </c>
      <c r="F484" s="5">
        <v>100</v>
      </c>
      <c r="G484" s="20">
        <v>100</v>
      </c>
      <c r="H484" s="34">
        <f t="shared" si="10"/>
        <v>0</v>
      </c>
    </row>
    <row r="485" spans="2:9" x14ac:dyDescent="0.25">
      <c r="E485" s="4" t="s">
        <v>188</v>
      </c>
      <c r="F485" s="5">
        <v>50</v>
      </c>
      <c r="G485" s="20">
        <v>50</v>
      </c>
      <c r="H485" s="34">
        <f t="shared" si="10"/>
        <v>0</v>
      </c>
    </row>
    <row r="486" spans="2:9" x14ac:dyDescent="0.25">
      <c r="E486" s="4" t="s">
        <v>888</v>
      </c>
      <c r="F486" s="32">
        <v>40</v>
      </c>
      <c r="G486" s="33"/>
      <c r="H486" s="34">
        <f t="shared" si="10"/>
        <v>40</v>
      </c>
    </row>
    <row r="487" spans="2:9" ht="15" thickBot="1" x14ac:dyDescent="0.3">
      <c r="E487" s="4" t="s">
        <v>889</v>
      </c>
      <c r="F487" s="6">
        <v>-1000</v>
      </c>
      <c r="G487" s="21"/>
      <c r="H487" s="25">
        <f t="shared" si="10"/>
        <v>-1000</v>
      </c>
    </row>
    <row r="488" spans="2:9" x14ac:dyDescent="0.25">
      <c r="F488" s="5">
        <f>SUM(F478:F487)</f>
        <v>2740</v>
      </c>
      <c r="G488" s="5">
        <f>SUM(G478:G487)</f>
        <v>3695</v>
      </c>
      <c r="H488" s="5">
        <f>SUM(H478:H487)</f>
        <v>-955</v>
      </c>
    </row>
    <row r="489" spans="2:9" x14ac:dyDescent="0.25">
      <c r="B489" s="4" t="s">
        <v>122</v>
      </c>
      <c r="C489" s="4" t="s">
        <v>890</v>
      </c>
      <c r="D489" s="4" t="s">
        <v>456</v>
      </c>
      <c r="E489" s="4" t="s">
        <v>881</v>
      </c>
      <c r="F489" s="5">
        <v>190000</v>
      </c>
      <c r="G489" s="20">
        <v>180000</v>
      </c>
      <c r="H489" s="34">
        <f t="shared" si="10"/>
        <v>10000</v>
      </c>
      <c r="I489" s="4" t="s">
        <v>1086</v>
      </c>
    </row>
    <row r="490" spans="2:9" x14ac:dyDescent="0.25">
      <c r="E490" s="4" t="s">
        <v>883</v>
      </c>
      <c r="F490" s="5">
        <v>22000</v>
      </c>
      <c r="G490" s="20">
        <f>23050</f>
        <v>23050</v>
      </c>
      <c r="H490" s="34">
        <f t="shared" si="10"/>
        <v>-1050</v>
      </c>
    </row>
    <row r="491" spans="2:9" x14ac:dyDescent="0.25">
      <c r="E491" s="4" t="s">
        <v>668</v>
      </c>
      <c r="F491" s="5">
        <v>4440</v>
      </c>
      <c r="G491" s="20">
        <f>3775</f>
        <v>3775</v>
      </c>
      <c r="H491" s="34">
        <f t="shared" si="10"/>
        <v>665</v>
      </c>
    </row>
    <row r="492" spans="2:9" x14ac:dyDescent="0.25">
      <c r="E492" s="4" t="s">
        <v>454</v>
      </c>
      <c r="F492" s="5">
        <v>4176</v>
      </c>
      <c r="H492" s="34">
        <f t="shared" si="10"/>
        <v>4176</v>
      </c>
    </row>
    <row r="493" spans="2:9" x14ac:dyDescent="0.25">
      <c r="E493" s="4" t="s">
        <v>495</v>
      </c>
      <c r="F493" s="5">
        <v>3600</v>
      </c>
      <c r="G493" s="20">
        <f>12.98+72.53+1090.36</f>
        <v>1175.8699999999999</v>
      </c>
      <c r="H493" s="34">
        <f t="shared" si="10"/>
        <v>2424.13</v>
      </c>
    </row>
    <row r="494" spans="2:9" x14ac:dyDescent="0.25">
      <c r="E494" s="4" t="s">
        <v>620</v>
      </c>
      <c r="F494" s="5">
        <v>3000</v>
      </c>
      <c r="G494" s="20">
        <f>35.88+92.25+92.25+35.88+220.59</f>
        <v>476.85</v>
      </c>
      <c r="H494" s="34">
        <f t="shared" si="10"/>
        <v>2523.15</v>
      </c>
    </row>
    <row r="495" spans="2:9" x14ac:dyDescent="0.25">
      <c r="E495" s="4" t="s">
        <v>671</v>
      </c>
      <c r="F495" s="5">
        <v>2000</v>
      </c>
      <c r="H495" s="34">
        <f t="shared" si="10"/>
        <v>2000</v>
      </c>
    </row>
    <row r="496" spans="2:9" x14ac:dyDescent="0.25">
      <c r="E496" s="4" t="s">
        <v>534</v>
      </c>
      <c r="F496" s="5">
        <v>2000</v>
      </c>
      <c r="G496" s="20">
        <v>3105</v>
      </c>
      <c r="H496" s="34">
        <f t="shared" si="10"/>
        <v>-1105</v>
      </c>
    </row>
    <row r="497" spans="2:10" x14ac:dyDescent="0.25">
      <c r="E497" s="4" t="s">
        <v>892</v>
      </c>
      <c r="F497" s="5">
        <v>700</v>
      </c>
      <c r="G497" s="20">
        <f>675</f>
        <v>675</v>
      </c>
      <c r="H497" s="34">
        <f t="shared" si="10"/>
        <v>25</v>
      </c>
    </row>
    <row r="498" spans="2:10" x14ac:dyDescent="0.25">
      <c r="E498" s="4" t="s">
        <v>478</v>
      </c>
      <c r="F498" s="5">
        <v>667</v>
      </c>
      <c r="H498" s="34">
        <f t="shared" si="10"/>
        <v>667</v>
      </c>
    </row>
    <row r="499" spans="2:10" x14ac:dyDescent="0.25">
      <c r="E499" s="4" t="s">
        <v>893</v>
      </c>
      <c r="F499" s="5">
        <v>610</v>
      </c>
      <c r="G499" s="20">
        <f>391.5</f>
        <v>391.5</v>
      </c>
      <c r="H499" s="34">
        <f t="shared" si="10"/>
        <v>218.5</v>
      </c>
    </row>
    <row r="500" spans="2:10" x14ac:dyDescent="0.25">
      <c r="E500" s="4" t="s">
        <v>356</v>
      </c>
      <c r="F500" s="5">
        <v>600</v>
      </c>
      <c r="G500" s="20">
        <f>228.92+222.43</f>
        <v>451.35</v>
      </c>
      <c r="H500" s="34">
        <f t="shared" si="10"/>
        <v>148.64999999999998</v>
      </c>
    </row>
    <row r="501" spans="2:10" x14ac:dyDescent="0.25">
      <c r="E501" s="4" t="s">
        <v>894</v>
      </c>
      <c r="F501" s="5">
        <v>500</v>
      </c>
      <c r="G501" s="20">
        <v>456.65</v>
      </c>
      <c r="H501" s="34">
        <f t="shared" si="10"/>
        <v>43.350000000000023</v>
      </c>
    </row>
    <row r="502" spans="2:10" x14ac:dyDescent="0.25">
      <c r="E502" s="4" t="s">
        <v>895</v>
      </c>
      <c r="F502" s="5">
        <v>400</v>
      </c>
      <c r="H502" s="34">
        <f t="shared" si="10"/>
        <v>400</v>
      </c>
    </row>
    <row r="503" spans="2:10" x14ac:dyDescent="0.25">
      <c r="E503" s="4" t="s">
        <v>896</v>
      </c>
      <c r="F503" s="5">
        <v>250</v>
      </c>
      <c r="H503" s="34">
        <f t="shared" si="10"/>
        <v>250</v>
      </c>
    </row>
    <row r="504" spans="2:10" x14ac:dyDescent="0.25">
      <c r="E504" s="4" t="s">
        <v>897</v>
      </c>
      <c r="F504" s="5">
        <v>250</v>
      </c>
      <c r="G504" s="20">
        <f>241.5</f>
        <v>241.5</v>
      </c>
      <c r="H504" s="34">
        <f t="shared" si="10"/>
        <v>8.5</v>
      </c>
    </row>
    <row r="505" spans="2:10" x14ac:dyDescent="0.25">
      <c r="E505" s="4" t="s">
        <v>898</v>
      </c>
      <c r="F505" s="5">
        <v>250</v>
      </c>
      <c r="H505" s="34">
        <f t="shared" si="10"/>
        <v>250</v>
      </c>
    </row>
    <row r="506" spans="2:10" x14ac:dyDescent="0.25">
      <c r="E506" s="4" t="s">
        <v>899</v>
      </c>
      <c r="F506" s="5">
        <v>100</v>
      </c>
      <c r="G506" s="20">
        <f>33.7</f>
        <v>33.700000000000003</v>
      </c>
      <c r="H506" s="34">
        <f t="shared" si="10"/>
        <v>66.3</v>
      </c>
    </row>
    <row r="507" spans="2:10" x14ac:dyDescent="0.25">
      <c r="E507" s="4" t="s">
        <v>673</v>
      </c>
      <c r="F507" s="5">
        <v>100</v>
      </c>
      <c r="H507" s="34">
        <f t="shared" si="10"/>
        <v>100</v>
      </c>
    </row>
    <row r="508" spans="2:10" x14ac:dyDescent="0.25">
      <c r="E508" s="4" t="s">
        <v>453</v>
      </c>
      <c r="F508" s="5">
        <v>7500</v>
      </c>
      <c r="G508" s="20">
        <v>7500</v>
      </c>
      <c r="H508" s="34">
        <f t="shared" si="10"/>
        <v>0</v>
      </c>
    </row>
    <row r="509" spans="2:10" ht="15" thickBot="1" x14ac:dyDescent="0.3">
      <c r="E509" s="4" t="s">
        <v>891</v>
      </c>
      <c r="F509" s="6">
        <v>-24000</v>
      </c>
      <c r="G509" s="21"/>
      <c r="H509" s="25">
        <f t="shared" si="10"/>
        <v>-24000</v>
      </c>
    </row>
    <row r="510" spans="2:10" x14ac:dyDescent="0.25">
      <c r="F510" s="5">
        <f>SUM(F489:F509)</f>
        <v>219143</v>
      </c>
      <c r="H510" s="34">
        <f t="shared" si="10"/>
        <v>219143</v>
      </c>
    </row>
    <row r="511" spans="2:10" x14ac:dyDescent="0.25">
      <c r="B511" s="4" t="s">
        <v>122</v>
      </c>
      <c r="C511" s="4" t="s">
        <v>900</v>
      </c>
      <c r="D511" s="4" t="s">
        <v>456</v>
      </c>
      <c r="E511" s="4" t="s">
        <v>881</v>
      </c>
      <c r="F511" s="5">
        <v>51000</v>
      </c>
      <c r="G511" s="20">
        <f>41500</f>
        <v>41500</v>
      </c>
      <c r="H511" s="34">
        <f t="shared" si="10"/>
        <v>9500</v>
      </c>
    </row>
    <row r="512" spans="2:10" x14ac:dyDescent="0.25">
      <c r="E512" s="4" t="s">
        <v>453</v>
      </c>
      <c r="F512" s="5">
        <v>5000</v>
      </c>
      <c r="G512" s="20">
        <v>4150</v>
      </c>
      <c r="H512" s="34">
        <f t="shared" si="10"/>
        <v>850</v>
      </c>
      <c r="I512" s="31">
        <f>H511+H512</f>
        <v>10350</v>
      </c>
      <c r="J512" s="45" t="s">
        <v>968</v>
      </c>
    </row>
    <row r="513" spans="1:8" x14ac:dyDescent="0.25">
      <c r="E513" s="4" t="s">
        <v>145</v>
      </c>
      <c r="F513" s="5">
        <v>800</v>
      </c>
      <c r="H513" s="34">
        <f t="shared" si="10"/>
        <v>800</v>
      </c>
    </row>
    <row r="514" spans="1:8" x14ac:dyDescent="0.25">
      <c r="E514" s="4" t="s">
        <v>454</v>
      </c>
      <c r="F514" s="5">
        <v>696</v>
      </c>
      <c r="H514" s="34">
        <f t="shared" si="10"/>
        <v>696</v>
      </c>
    </row>
    <row r="515" spans="1:8" x14ac:dyDescent="0.25">
      <c r="E515" s="4" t="s">
        <v>146</v>
      </c>
      <c r="F515" s="5">
        <v>300</v>
      </c>
      <c r="H515" s="34">
        <f t="shared" si="10"/>
        <v>300</v>
      </c>
    </row>
    <row r="516" spans="1:8" x14ac:dyDescent="0.25">
      <c r="E516" s="4" t="s">
        <v>911</v>
      </c>
      <c r="F516" s="5">
        <v>175</v>
      </c>
      <c r="G516" s="20">
        <v>175</v>
      </c>
      <c r="H516" s="34">
        <f t="shared" si="10"/>
        <v>0</v>
      </c>
    </row>
    <row r="517" spans="1:8" x14ac:dyDescent="0.25">
      <c r="E517" s="4" t="s">
        <v>356</v>
      </c>
      <c r="F517" s="5">
        <v>100</v>
      </c>
      <c r="H517" s="34">
        <f t="shared" si="10"/>
        <v>100</v>
      </c>
    </row>
    <row r="518" spans="1:8" ht="15" thickBot="1" x14ac:dyDescent="0.3">
      <c r="E518" s="4" t="s">
        <v>891</v>
      </c>
      <c r="F518" s="6">
        <v>-2450</v>
      </c>
      <c r="G518" s="21"/>
      <c r="H518" s="25">
        <f t="shared" si="10"/>
        <v>-2450</v>
      </c>
    </row>
    <row r="519" spans="1:8" x14ac:dyDescent="0.25">
      <c r="F519" s="5">
        <f>SUM(F511:F518)</f>
        <v>55621</v>
      </c>
      <c r="H519" s="34">
        <f t="shared" si="10"/>
        <v>55621</v>
      </c>
    </row>
    <row r="520" spans="1:8" x14ac:dyDescent="0.25">
      <c r="A520" s="22">
        <v>42340</v>
      </c>
      <c r="B520" s="4" t="s">
        <v>904</v>
      </c>
      <c r="C520" s="4" t="s">
        <v>905</v>
      </c>
      <c r="D520" s="4" t="s">
        <v>443</v>
      </c>
      <c r="E520" s="4" t="s">
        <v>906</v>
      </c>
      <c r="F520" s="5">
        <v>6800</v>
      </c>
      <c r="G520" s="20">
        <v>6800</v>
      </c>
      <c r="H520" s="34">
        <f t="shared" si="10"/>
        <v>0</v>
      </c>
    </row>
    <row r="521" spans="1:8" ht="15" thickBot="1" x14ac:dyDescent="0.3">
      <c r="E521" s="4" t="s">
        <v>808</v>
      </c>
      <c r="F521" s="6">
        <v>647</v>
      </c>
      <c r="G521" s="21"/>
      <c r="H521" s="25">
        <f t="shared" si="10"/>
        <v>647</v>
      </c>
    </row>
    <row r="522" spans="1:8" x14ac:dyDescent="0.25">
      <c r="F522" s="5">
        <f>SUM(F520:F521)</f>
        <v>7447</v>
      </c>
      <c r="G522" s="5">
        <f>SUM(G520:G521)</f>
        <v>6800</v>
      </c>
      <c r="H522" s="5">
        <f>SUM(H520:H521)</f>
        <v>647</v>
      </c>
    </row>
    <row r="523" spans="1:8" ht="15" thickBot="1" x14ac:dyDescent="0.3">
      <c r="B523" s="4" t="s">
        <v>223</v>
      </c>
      <c r="C523" s="4" t="s">
        <v>907</v>
      </c>
      <c r="D523" s="4" t="s">
        <v>443</v>
      </c>
      <c r="E523" s="4" t="s">
        <v>411</v>
      </c>
      <c r="F523" s="6">
        <v>3000</v>
      </c>
      <c r="G523" s="21"/>
      <c r="H523" s="25">
        <f t="shared" si="10"/>
        <v>3000</v>
      </c>
    </row>
    <row r="524" spans="1:8" x14ac:dyDescent="0.25">
      <c r="F524" s="5">
        <f>SUM(F523)</f>
        <v>3000</v>
      </c>
      <c r="G524" s="5">
        <f>SUM(G523)</f>
        <v>0</v>
      </c>
      <c r="H524" s="5">
        <f>SUM(H523)</f>
        <v>3000</v>
      </c>
    </row>
    <row r="525" spans="1:8" x14ac:dyDescent="0.25">
      <c r="B525" s="4" t="s">
        <v>734</v>
      </c>
      <c r="C525" s="4" t="s">
        <v>908</v>
      </c>
      <c r="D525" s="4" t="s">
        <v>444</v>
      </c>
      <c r="E525" s="4" t="s">
        <v>909</v>
      </c>
      <c r="F525" s="5">
        <f>512.9+747.66</f>
        <v>1260.56</v>
      </c>
      <c r="G525" s="20">
        <v>1260.56</v>
      </c>
      <c r="H525" s="34">
        <f t="shared" si="10"/>
        <v>0</v>
      </c>
    </row>
    <row r="526" spans="1:8" ht="15" thickBot="1" x14ac:dyDescent="0.3">
      <c r="E526" s="4" t="s">
        <v>191</v>
      </c>
      <c r="F526" s="6">
        <v>200</v>
      </c>
      <c r="G526" s="21">
        <f>7.99+3+2.99+31.55+85.29</f>
        <v>130.82</v>
      </c>
      <c r="H526" s="25">
        <f t="shared" si="10"/>
        <v>69.180000000000007</v>
      </c>
    </row>
    <row r="527" spans="1:8" x14ac:dyDescent="0.25">
      <c r="F527" s="5">
        <f>SUM(F525:F526)</f>
        <v>1460.56</v>
      </c>
      <c r="G527" s="5">
        <f>SUM(G525:G526)</f>
        <v>1391.3799999999999</v>
      </c>
      <c r="H527" s="5">
        <f>SUM(H525:H526)</f>
        <v>69.180000000000007</v>
      </c>
    </row>
    <row r="528" spans="1:8" x14ac:dyDescent="0.25">
      <c r="B528" s="4" t="s">
        <v>23</v>
      </c>
      <c r="C528" s="4" t="s">
        <v>41</v>
      </c>
      <c r="D528" s="4" t="s">
        <v>443</v>
      </c>
      <c r="E528" s="4" t="s">
        <v>831</v>
      </c>
      <c r="F528" s="5">
        <v>200</v>
      </c>
      <c r="G528" s="5"/>
      <c r="H528" s="34">
        <f t="shared" si="10"/>
        <v>200</v>
      </c>
    </row>
    <row r="529" spans="2:8" ht="15" thickBot="1" x14ac:dyDescent="0.3">
      <c r="E529" s="4" t="s">
        <v>960</v>
      </c>
      <c r="F529" s="6">
        <v>400</v>
      </c>
      <c r="G529" s="6">
        <f>185.68+34.66+30.96+17.17+28.67+18.98+26.82</f>
        <v>342.94000000000005</v>
      </c>
      <c r="H529" s="25">
        <f t="shared" si="10"/>
        <v>57.059999999999945</v>
      </c>
    </row>
    <row r="530" spans="2:8" x14ac:dyDescent="0.25">
      <c r="F530" s="5">
        <f>SUM(F528:F529)</f>
        <v>600</v>
      </c>
      <c r="G530" s="5">
        <f>SUM(G528:G529)</f>
        <v>342.94000000000005</v>
      </c>
      <c r="H530" s="5">
        <f>SUM(H528:H529)</f>
        <v>257.05999999999995</v>
      </c>
    </row>
    <row r="531" spans="2:8" x14ac:dyDescent="0.25">
      <c r="B531" s="4" t="s">
        <v>23</v>
      </c>
      <c r="C531" s="4" t="s">
        <v>961</v>
      </c>
      <c r="D531" s="4" t="s">
        <v>443</v>
      </c>
      <c r="E531" s="4" t="s">
        <v>810</v>
      </c>
      <c r="F531" s="5">
        <v>4000</v>
      </c>
      <c r="G531" s="5">
        <v>4000</v>
      </c>
      <c r="H531" s="34">
        <f t="shared" si="10"/>
        <v>0</v>
      </c>
    </row>
    <row r="532" spans="2:8" x14ac:dyDescent="0.25">
      <c r="E532" s="4" t="s">
        <v>962</v>
      </c>
      <c r="F532" s="5">
        <v>2500</v>
      </c>
      <c r="G532" s="5">
        <f>365.58+549.63+44.3+4.94+38.77+500.46+114.97+552.18+56.13</f>
        <v>2226.96</v>
      </c>
      <c r="H532" s="34">
        <f t="shared" si="10"/>
        <v>273.03999999999996</v>
      </c>
    </row>
    <row r="533" spans="2:8" x14ac:dyDescent="0.25">
      <c r="E533" s="4" t="s">
        <v>963</v>
      </c>
      <c r="F533" s="5">
        <v>1000</v>
      </c>
      <c r="G533" s="5">
        <f>14.2+78.51+440.63+111.45+50.75</f>
        <v>695.54000000000008</v>
      </c>
      <c r="H533" s="34">
        <f t="shared" si="10"/>
        <v>304.45999999999992</v>
      </c>
    </row>
    <row r="534" spans="2:8" x14ac:dyDescent="0.25">
      <c r="E534" s="4" t="s">
        <v>31</v>
      </c>
      <c r="F534" s="5">
        <v>300</v>
      </c>
      <c r="G534" s="5">
        <f>128.86+58.88</f>
        <v>187.74</v>
      </c>
      <c r="H534" s="34">
        <f t="shared" si="10"/>
        <v>112.25999999999999</v>
      </c>
    </row>
    <row r="535" spans="2:8" x14ac:dyDescent="0.25">
      <c r="E535" s="4" t="s">
        <v>32</v>
      </c>
      <c r="F535" s="5">
        <v>600</v>
      </c>
      <c r="G535" s="5">
        <f>26.79+25.71+52.79+121.15+307.62</f>
        <v>534.05999999999995</v>
      </c>
      <c r="H535" s="34">
        <f t="shared" si="10"/>
        <v>65.940000000000055</v>
      </c>
    </row>
    <row r="536" spans="2:8" x14ac:dyDescent="0.25">
      <c r="E536" s="4" t="s">
        <v>33</v>
      </c>
      <c r="F536" s="5">
        <v>1000</v>
      </c>
      <c r="G536" s="5">
        <f>11.97+44.98+469.55+86.38+36.99+64.17+79.21+22</f>
        <v>815.25</v>
      </c>
      <c r="H536" s="34">
        <f t="shared" si="10"/>
        <v>184.75</v>
      </c>
    </row>
    <row r="537" spans="2:8" x14ac:dyDescent="0.25">
      <c r="E537" s="4" t="s">
        <v>36</v>
      </c>
      <c r="F537" s="5">
        <v>800</v>
      </c>
      <c r="G537" s="5">
        <v>800</v>
      </c>
      <c r="H537" s="34">
        <f t="shared" si="10"/>
        <v>0</v>
      </c>
    </row>
    <row r="538" spans="2:8" x14ac:dyDescent="0.25">
      <c r="E538" s="4" t="s">
        <v>35</v>
      </c>
      <c r="F538" s="5">
        <v>850</v>
      </c>
      <c r="G538" s="5">
        <f>550+66+19.75</f>
        <v>635.75</v>
      </c>
      <c r="H538" s="34">
        <f t="shared" si="10"/>
        <v>214.25</v>
      </c>
    </row>
    <row r="539" spans="2:8" x14ac:dyDescent="0.25">
      <c r="E539" s="4" t="s">
        <v>37</v>
      </c>
      <c r="F539" s="5">
        <v>200</v>
      </c>
      <c r="G539" s="5">
        <f>195</f>
        <v>195</v>
      </c>
      <c r="H539" s="34">
        <f t="shared" si="10"/>
        <v>5</v>
      </c>
    </row>
    <row r="540" spans="2:8" x14ac:dyDescent="0.25">
      <c r="E540" s="4" t="s">
        <v>34</v>
      </c>
      <c r="F540" s="5">
        <v>200</v>
      </c>
      <c r="G540" s="5">
        <f>81.13+61.03+15.96</f>
        <v>158.12</v>
      </c>
      <c r="H540" s="34">
        <f t="shared" si="10"/>
        <v>41.879999999999995</v>
      </c>
    </row>
    <row r="541" spans="2:8" x14ac:dyDescent="0.25">
      <c r="E541" s="4" t="s">
        <v>388</v>
      </c>
      <c r="F541" s="5">
        <v>200</v>
      </c>
      <c r="G541" s="5"/>
      <c r="H541" s="34">
        <f t="shared" si="10"/>
        <v>200</v>
      </c>
    </row>
    <row r="542" spans="2:8" x14ac:dyDescent="0.25">
      <c r="E542" s="4" t="s">
        <v>965</v>
      </c>
      <c r="F542" s="5">
        <v>30</v>
      </c>
      <c r="G542" s="5"/>
      <c r="H542" s="34">
        <f t="shared" si="10"/>
        <v>30</v>
      </c>
    </row>
    <row r="543" spans="2:8" x14ac:dyDescent="0.25">
      <c r="E543" s="4" t="s">
        <v>38</v>
      </c>
      <c r="F543" s="5">
        <v>150</v>
      </c>
      <c r="G543" s="5"/>
      <c r="H543" s="34">
        <f t="shared" si="10"/>
        <v>150</v>
      </c>
    </row>
    <row r="544" spans="2:8" x14ac:dyDescent="0.25">
      <c r="E544" s="4" t="s">
        <v>964</v>
      </c>
      <c r="F544" s="5">
        <v>75</v>
      </c>
      <c r="G544" s="5"/>
      <c r="H544" s="34">
        <f t="shared" si="10"/>
        <v>75</v>
      </c>
    </row>
    <row r="545" spans="1:10" ht="15" thickBot="1" x14ac:dyDescent="0.3">
      <c r="E545" s="4" t="s">
        <v>656</v>
      </c>
      <c r="F545" s="6">
        <v>2000</v>
      </c>
      <c r="G545" s="6"/>
      <c r="H545" s="25">
        <f t="shared" si="10"/>
        <v>2000</v>
      </c>
    </row>
    <row r="546" spans="1:10" x14ac:dyDescent="0.25">
      <c r="F546" s="5">
        <f>SUM(F531:F545)</f>
        <v>13905</v>
      </c>
      <c r="G546" s="5">
        <f>SUM(G531:G545)</f>
        <v>10248.42</v>
      </c>
      <c r="H546" s="5">
        <f>SUM(H531:H545)</f>
        <v>3656.58</v>
      </c>
    </row>
    <row r="547" spans="1:10" x14ac:dyDescent="0.25">
      <c r="B547" s="4" t="s">
        <v>23</v>
      </c>
      <c r="C547" s="4" t="s">
        <v>966</v>
      </c>
      <c r="D547" s="4" t="s">
        <v>443</v>
      </c>
      <c r="E547" s="4" t="s">
        <v>945</v>
      </c>
      <c r="F547" s="5">
        <v>3000</v>
      </c>
      <c r="G547" s="5">
        <f>218.4+2338+13.94+229.91</f>
        <v>2800.25</v>
      </c>
      <c r="H547" s="34">
        <f t="shared" si="10"/>
        <v>199.75</v>
      </c>
    </row>
    <row r="548" spans="1:10" x14ac:dyDescent="0.25">
      <c r="E548" s="4" t="s">
        <v>32</v>
      </c>
      <c r="F548" s="5">
        <v>400</v>
      </c>
      <c r="G548" s="5">
        <f>74.54</f>
        <v>74.540000000000006</v>
      </c>
      <c r="H548" s="34">
        <f t="shared" si="10"/>
        <v>325.45999999999998</v>
      </c>
    </row>
    <row r="549" spans="1:10" x14ac:dyDescent="0.25">
      <c r="E549" s="4" t="s">
        <v>33</v>
      </c>
      <c r="F549" s="5">
        <v>600</v>
      </c>
      <c r="G549" s="5">
        <f>20.76+11.7</f>
        <v>32.46</v>
      </c>
      <c r="H549" s="34">
        <f t="shared" si="10"/>
        <v>567.54</v>
      </c>
    </row>
    <row r="550" spans="1:10" ht="15" thickBot="1" x14ac:dyDescent="0.3">
      <c r="E550" s="4" t="s">
        <v>967</v>
      </c>
      <c r="F550" s="6">
        <v>300</v>
      </c>
      <c r="G550" s="6"/>
      <c r="H550" s="25">
        <f t="shared" si="10"/>
        <v>300</v>
      </c>
    </row>
    <row r="551" spans="1:10" x14ac:dyDescent="0.25">
      <c r="F551" s="5">
        <f>SUM(F547:F550)</f>
        <v>4300</v>
      </c>
      <c r="G551" s="5">
        <f>SUM(G547:G550)</f>
        <v>2907.25</v>
      </c>
      <c r="H551" s="5">
        <f>SUM(H547:H550)</f>
        <v>1392.75</v>
      </c>
    </row>
    <row r="552" spans="1:10" x14ac:dyDescent="0.25">
      <c r="E552" s="4" t="s">
        <v>891</v>
      </c>
      <c r="F552" s="5">
        <v>-2000</v>
      </c>
      <c r="G552" s="5">
        <v>-2000</v>
      </c>
      <c r="H552" s="5">
        <v>-2000</v>
      </c>
    </row>
    <row r="553" spans="1:10" x14ac:dyDescent="0.25">
      <c r="A553" s="22" t="s">
        <v>921</v>
      </c>
      <c r="B553" s="4" t="s">
        <v>83</v>
      </c>
      <c r="C553" s="4" t="s">
        <v>915</v>
      </c>
      <c r="D553" s="4" t="s">
        <v>557</v>
      </c>
      <c r="E553" s="4" t="s">
        <v>891</v>
      </c>
      <c r="F553" s="5">
        <v>350</v>
      </c>
      <c r="G553" s="20">
        <f>350</f>
        <v>350</v>
      </c>
      <c r="H553" s="34">
        <f t="shared" si="10"/>
        <v>0</v>
      </c>
    </row>
    <row r="554" spans="1:10" x14ac:dyDescent="0.25">
      <c r="E554" s="4" t="s">
        <v>608</v>
      </c>
      <c r="F554" s="5">
        <v>300</v>
      </c>
      <c r="G554" s="20">
        <v>300</v>
      </c>
      <c r="H554" s="34">
        <f t="shared" ref="H554:H619" si="11">IFERROR(F554-G554, " ")</f>
        <v>0</v>
      </c>
    </row>
    <row r="555" spans="1:10" x14ac:dyDescent="0.25">
      <c r="E555" s="4" t="s">
        <v>188</v>
      </c>
      <c r="F555" s="5">
        <v>265</v>
      </c>
      <c r="G555" s="20">
        <f>131.02</f>
        <v>131.02000000000001</v>
      </c>
      <c r="H555" s="34">
        <f t="shared" si="11"/>
        <v>133.97999999999999</v>
      </c>
      <c r="I555" s="51" t="s">
        <v>1085</v>
      </c>
    </row>
    <row r="556" spans="1:10" x14ac:dyDescent="0.25">
      <c r="E556" s="4" t="s">
        <v>913</v>
      </c>
      <c r="F556" s="5">
        <v>300</v>
      </c>
      <c r="G556" s="20">
        <v>270</v>
      </c>
      <c r="H556" s="34">
        <f t="shared" si="11"/>
        <v>30</v>
      </c>
      <c r="I556" s="51" t="s">
        <v>1085</v>
      </c>
    </row>
    <row r="557" spans="1:10" ht="15" thickBot="1" x14ac:dyDescent="0.3">
      <c r="E557" s="4" t="s">
        <v>914</v>
      </c>
      <c r="F557" s="6">
        <v>300</v>
      </c>
      <c r="G557" s="21">
        <v>290</v>
      </c>
      <c r="H557" s="25">
        <f t="shared" si="11"/>
        <v>10</v>
      </c>
      <c r="I557" s="51" t="s">
        <v>1085</v>
      </c>
      <c r="J557" s="36">
        <f>H555+H556+H557</f>
        <v>173.98</v>
      </c>
    </row>
    <row r="558" spans="1:10" x14ac:dyDescent="0.25">
      <c r="F558" s="5">
        <f>SUM(F553:F557)</f>
        <v>1515</v>
      </c>
      <c r="G558" s="5">
        <f>SUM(G553:G557)</f>
        <v>1341.02</v>
      </c>
      <c r="H558" s="5">
        <f>SUM(H553:H557)</f>
        <v>173.98</v>
      </c>
    </row>
    <row r="559" spans="1:10" x14ac:dyDescent="0.25">
      <c r="B559" s="4" t="s">
        <v>83</v>
      </c>
      <c r="C559" s="4" t="s">
        <v>916</v>
      </c>
      <c r="D559" s="4" t="s">
        <v>557</v>
      </c>
      <c r="E559" s="4" t="s">
        <v>917</v>
      </c>
      <c r="F559" s="5">
        <v>2550</v>
      </c>
      <c r="G559" s="20">
        <v>2550</v>
      </c>
      <c r="H559" s="34">
        <f t="shared" si="11"/>
        <v>0</v>
      </c>
    </row>
    <row r="560" spans="1:10" ht="15" thickBot="1" x14ac:dyDescent="0.3">
      <c r="E560" s="4" t="s">
        <v>831</v>
      </c>
      <c r="F560" s="6">
        <v>66.599999999999994</v>
      </c>
      <c r="G560" s="21"/>
      <c r="H560" s="25">
        <f t="shared" si="11"/>
        <v>66.599999999999994</v>
      </c>
    </row>
    <row r="561" spans="1:8" x14ac:dyDescent="0.25">
      <c r="F561" s="5">
        <f>SUM(F559:F560)</f>
        <v>2616.6</v>
      </c>
      <c r="G561" s="5">
        <f>SUM(G559:G560)</f>
        <v>2550</v>
      </c>
      <c r="H561" s="5">
        <f>SUM(H559:H560)</f>
        <v>66.599999999999994</v>
      </c>
    </row>
    <row r="562" spans="1:8" x14ac:dyDescent="0.25">
      <c r="B562" s="4" t="s">
        <v>83</v>
      </c>
      <c r="C562" s="4" t="s">
        <v>918</v>
      </c>
      <c r="D562" s="4" t="s">
        <v>919</v>
      </c>
      <c r="E562" s="4" t="s">
        <v>917</v>
      </c>
      <c r="F562" s="5">
        <v>2500</v>
      </c>
      <c r="G562" s="20">
        <v>2500</v>
      </c>
      <c r="H562" s="34">
        <f t="shared" si="11"/>
        <v>0</v>
      </c>
    </row>
    <row r="563" spans="1:8" ht="15" thickBot="1" x14ac:dyDescent="0.3">
      <c r="E563" s="4" t="s">
        <v>831</v>
      </c>
      <c r="F563" s="6">
        <v>20.81</v>
      </c>
      <c r="G563" s="21"/>
      <c r="H563" s="25">
        <f t="shared" si="11"/>
        <v>20.81</v>
      </c>
    </row>
    <row r="564" spans="1:8" x14ac:dyDescent="0.25">
      <c r="F564" s="5">
        <f>SUM(F562:F563)</f>
        <v>2520.81</v>
      </c>
      <c r="G564" s="5">
        <f>SUM(G562:G563)</f>
        <v>2500</v>
      </c>
      <c r="H564" s="5">
        <f>SUM(H562:H563)</f>
        <v>20.81</v>
      </c>
    </row>
    <row r="565" spans="1:8" ht="15" thickBot="1" x14ac:dyDescent="0.3">
      <c r="B565" s="4" t="s">
        <v>83</v>
      </c>
      <c r="C565" s="4" t="s">
        <v>920</v>
      </c>
      <c r="D565" s="4" t="s">
        <v>557</v>
      </c>
      <c r="E565" s="4" t="s">
        <v>917</v>
      </c>
      <c r="F565" s="6">
        <v>5000</v>
      </c>
      <c r="G565" s="21">
        <v>5000</v>
      </c>
      <c r="H565" s="25">
        <f t="shared" si="11"/>
        <v>0</v>
      </c>
    </row>
    <row r="566" spans="1:8" x14ac:dyDescent="0.25">
      <c r="F566" s="5">
        <f>SUM(F565)</f>
        <v>5000</v>
      </c>
      <c r="G566" s="5">
        <f>SUM(G565)</f>
        <v>5000</v>
      </c>
      <c r="H566" s="34">
        <f t="shared" si="11"/>
        <v>0</v>
      </c>
    </row>
    <row r="567" spans="1:8" ht="15" thickBot="1" x14ac:dyDescent="0.3">
      <c r="B567" s="4" t="s">
        <v>83</v>
      </c>
      <c r="C567" s="4" t="s">
        <v>1009</v>
      </c>
      <c r="D567" s="4" t="s">
        <v>557</v>
      </c>
      <c r="E567" s="4" t="s">
        <v>1010</v>
      </c>
      <c r="F567" s="6">
        <v>297.2</v>
      </c>
      <c r="G567" s="6">
        <v>297.2</v>
      </c>
      <c r="H567" s="25">
        <f t="shared" si="11"/>
        <v>0</v>
      </c>
    </row>
    <row r="568" spans="1:8" x14ac:dyDescent="0.25">
      <c r="F568" s="5">
        <f>SUM(F567)</f>
        <v>297.2</v>
      </c>
      <c r="G568" s="5">
        <f>SUM(G567)</f>
        <v>297.2</v>
      </c>
      <c r="H568" s="5">
        <f>SUM(H567)</f>
        <v>0</v>
      </c>
    </row>
    <row r="569" spans="1:8" x14ac:dyDescent="0.25">
      <c r="A569" s="22">
        <v>42402</v>
      </c>
      <c r="B569" s="4" t="s">
        <v>7</v>
      </c>
      <c r="C569" s="4" t="s">
        <v>923</v>
      </c>
      <c r="D569" s="4" t="s">
        <v>557</v>
      </c>
      <c r="E569" s="4" t="s">
        <v>881</v>
      </c>
      <c r="F569" s="5">
        <v>6500</v>
      </c>
      <c r="G569" s="20">
        <v>6500</v>
      </c>
      <c r="H569" s="34">
        <f t="shared" si="11"/>
        <v>0</v>
      </c>
    </row>
    <row r="570" spans="1:8" x14ac:dyDescent="0.25">
      <c r="E570" s="4" t="s">
        <v>924</v>
      </c>
      <c r="F570" s="5">
        <v>90</v>
      </c>
      <c r="G570" s="20">
        <v>62.03</v>
      </c>
      <c r="H570" s="34">
        <f t="shared" si="11"/>
        <v>27.97</v>
      </c>
    </row>
    <row r="571" spans="1:8" x14ac:dyDescent="0.25">
      <c r="E571" s="4" t="s">
        <v>720</v>
      </c>
      <c r="F571" s="5">
        <v>25</v>
      </c>
      <c r="H571" s="34">
        <f t="shared" si="11"/>
        <v>25</v>
      </c>
    </row>
    <row r="572" spans="1:8" x14ac:dyDescent="0.25">
      <c r="E572" s="4" t="s">
        <v>925</v>
      </c>
      <c r="F572" s="5">
        <v>216</v>
      </c>
      <c r="H572" s="34">
        <f t="shared" si="11"/>
        <v>216</v>
      </c>
    </row>
    <row r="573" spans="1:8" x14ac:dyDescent="0.25">
      <c r="E573" s="4" t="s">
        <v>926</v>
      </c>
      <c r="F573" s="5">
        <v>120</v>
      </c>
      <c r="H573" s="34">
        <f t="shared" si="11"/>
        <v>120</v>
      </c>
    </row>
    <row r="574" spans="1:8" ht="15" thickBot="1" x14ac:dyDescent="0.3">
      <c r="E574" s="4" t="s">
        <v>927</v>
      </c>
      <c r="F574" s="6">
        <v>60</v>
      </c>
      <c r="G574" s="21"/>
      <c r="H574" s="25">
        <f t="shared" si="11"/>
        <v>60</v>
      </c>
    </row>
    <row r="575" spans="1:8" x14ac:dyDescent="0.25">
      <c r="F575" s="5">
        <f>SUM(F569:F574)</f>
        <v>7011</v>
      </c>
      <c r="G575" s="5">
        <f>SUM(G569:G574)</f>
        <v>6562.03</v>
      </c>
      <c r="H575" s="5">
        <f>SUM(H569:H574)</f>
        <v>448.97</v>
      </c>
    </row>
    <row r="576" spans="1:8" x14ac:dyDescent="0.25">
      <c r="B576" s="4" t="s">
        <v>354</v>
      </c>
      <c r="C576" s="4" t="s">
        <v>928</v>
      </c>
      <c r="D576" s="4" t="s">
        <v>557</v>
      </c>
      <c r="E576" s="4" t="s">
        <v>707</v>
      </c>
      <c r="F576" s="5">
        <v>99.98</v>
      </c>
      <c r="G576" s="20">
        <v>99.98</v>
      </c>
      <c r="H576" s="34">
        <f t="shared" si="11"/>
        <v>0</v>
      </c>
    </row>
    <row r="577" spans="2:8" x14ac:dyDescent="0.25">
      <c r="E577" s="4" t="s">
        <v>53</v>
      </c>
      <c r="F577" s="5">
        <v>10</v>
      </c>
      <c r="G577" s="20">
        <v>10</v>
      </c>
      <c r="H577" s="34">
        <f t="shared" si="11"/>
        <v>0</v>
      </c>
    </row>
    <row r="578" spans="2:8" x14ac:dyDescent="0.25">
      <c r="E578" s="4" t="s">
        <v>929</v>
      </c>
      <c r="F578" s="5">
        <v>12</v>
      </c>
      <c r="G578" s="20">
        <v>12</v>
      </c>
      <c r="H578" s="34">
        <f t="shared" si="11"/>
        <v>0</v>
      </c>
    </row>
    <row r="579" spans="2:8" x14ac:dyDescent="0.25">
      <c r="E579" s="4" t="s">
        <v>930</v>
      </c>
      <c r="F579" s="5">
        <v>119.98</v>
      </c>
      <c r="G579" s="20">
        <f>59.99*2</f>
        <v>119.98</v>
      </c>
      <c r="H579" s="34">
        <f t="shared" si="11"/>
        <v>0</v>
      </c>
    </row>
    <row r="580" spans="2:8" x14ac:dyDescent="0.25">
      <c r="E580" s="4" t="s">
        <v>302</v>
      </c>
      <c r="F580" s="5">
        <f>142.5+18.4</f>
        <v>160.9</v>
      </c>
      <c r="G580" s="20">
        <v>160.9</v>
      </c>
      <c r="H580" s="34">
        <f t="shared" si="11"/>
        <v>0</v>
      </c>
    </row>
    <row r="581" spans="2:8" x14ac:dyDescent="0.25">
      <c r="D581" s="36">
        <f>SUM(F577,F578,F579,F580,F576)</f>
        <v>402.86</v>
      </c>
      <c r="E581" s="4" t="s">
        <v>550</v>
      </c>
      <c r="F581" s="5">
        <v>200</v>
      </c>
      <c r="G581" s="20">
        <v>200</v>
      </c>
      <c r="H581" s="34">
        <f t="shared" si="11"/>
        <v>0</v>
      </c>
    </row>
    <row r="582" spans="2:8" x14ac:dyDescent="0.25">
      <c r="D582" s="36">
        <f>SUM(F582,F584,F585,F583)</f>
        <v>2603</v>
      </c>
      <c r="E582" s="4" t="s">
        <v>931</v>
      </c>
      <c r="F582" s="5">
        <v>899</v>
      </c>
      <c r="G582" s="20">
        <v>750</v>
      </c>
      <c r="H582" s="34">
        <f t="shared" si="11"/>
        <v>149</v>
      </c>
    </row>
    <row r="583" spans="2:8" x14ac:dyDescent="0.25">
      <c r="E583" s="4" t="s">
        <v>932</v>
      </c>
      <c r="F583" s="5">
        <v>430</v>
      </c>
      <c r="G583" s="20">
        <v>430</v>
      </c>
      <c r="H583" s="34">
        <f t="shared" si="11"/>
        <v>0</v>
      </c>
    </row>
    <row r="584" spans="2:8" x14ac:dyDescent="0.25">
      <c r="E584" s="4" t="s">
        <v>933</v>
      </c>
      <c r="F584" s="5">
        <v>375</v>
      </c>
      <c r="G584" s="20">
        <v>375</v>
      </c>
      <c r="H584" s="34">
        <f t="shared" si="11"/>
        <v>0</v>
      </c>
    </row>
    <row r="585" spans="2:8" x14ac:dyDescent="0.25">
      <c r="E585" s="4" t="s">
        <v>934</v>
      </c>
      <c r="F585" s="5">
        <v>899</v>
      </c>
      <c r="G585" s="20">
        <v>899</v>
      </c>
      <c r="H585" s="34">
        <f t="shared" si="11"/>
        <v>0</v>
      </c>
    </row>
    <row r="586" spans="2:8" ht="15" thickBot="1" x14ac:dyDescent="0.3">
      <c r="E586" s="4" t="s">
        <v>935</v>
      </c>
      <c r="F586" s="6">
        <v>28</v>
      </c>
      <c r="G586" s="21">
        <v>28</v>
      </c>
      <c r="H586" s="25">
        <f t="shared" si="11"/>
        <v>0</v>
      </c>
    </row>
    <row r="587" spans="2:8" x14ac:dyDescent="0.25">
      <c r="F587" s="5">
        <f>SUM(F576:F586)</f>
        <v>3233.86</v>
      </c>
      <c r="G587" s="5">
        <f>SUM(G576:G586)</f>
        <v>3084.86</v>
      </c>
      <c r="H587" s="5">
        <f>SUM(H576:H586)</f>
        <v>149</v>
      </c>
    </row>
    <row r="588" spans="2:8" ht="15" thickBot="1" x14ac:dyDescent="0.3">
      <c r="B588" s="4" t="s">
        <v>215</v>
      </c>
      <c r="C588" s="4" t="s">
        <v>936</v>
      </c>
      <c r="D588" s="4" t="s">
        <v>443</v>
      </c>
      <c r="E588" s="4" t="s">
        <v>937</v>
      </c>
      <c r="F588" s="6">
        <v>754.4</v>
      </c>
      <c r="G588" s="21">
        <f>708.48</f>
        <v>708.48</v>
      </c>
      <c r="H588" s="25">
        <f t="shared" si="11"/>
        <v>45.919999999999959</v>
      </c>
    </row>
    <row r="589" spans="2:8" x14ac:dyDescent="0.25">
      <c r="F589" s="5">
        <f>SUM(F588)</f>
        <v>754.4</v>
      </c>
      <c r="H589" s="34">
        <f t="shared" si="11"/>
        <v>754.4</v>
      </c>
    </row>
    <row r="590" spans="2:8" x14ac:dyDescent="0.25">
      <c r="B590" s="4" t="s">
        <v>83</v>
      </c>
      <c r="C590" s="4" t="s">
        <v>938</v>
      </c>
      <c r="D590" s="4" t="s">
        <v>557</v>
      </c>
      <c r="E590" s="4" t="s">
        <v>795</v>
      </c>
      <c r="F590" s="5">
        <v>84.75</v>
      </c>
      <c r="H590" s="34">
        <f t="shared" si="11"/>
        <v>84.75</v>
      </c>
    </row>
    <row r="591" spans="2:8" ht="15" thickBot="1" x14ac:dyDescent="0.3">
      <c r="E591" s="4" t="s">
        <v>939</v>
      </c>
      <c r="F591" s="6">
        <v>32.380000000000003</v>
      </c>
      <c r="G591" s="21"/>
      <c r="H591" s="25">
        <f t="shared" si="11"/>
        <v>32.380000000000003</v>
      </c>
    </row>
    <row r="592" spans="2:8" x14ac:dyDescent="0.25">
      <c r="F592" s="5">
        <f>SUM(F590:F591)</f>
        <v>117.13</v>
      </c>
      <c r="H592" s="34">
        <f t="shared" si="11"/>
        <v>117.13</v>
      </c>
    </row>
    <row r="593" spans="1:8" x14ac:dyDescent="0.25">
      <c r="B593" s="4" t="s">
        <v>120</v>
      </c>
      <c r="C593" s="4" t="s">
        <v>940</v>
      </c>
      <c r="D593" s="4" t="s">
        <v>557</v>
      </c>
      <c r="E593" s="4" t="s">
        <v>191</v>
      </c>
      <c r="F593" s="5">
        <v>2930</v>
      </c>
      <c r="G593" s="20">
        <f>2358.5+63.94</f>
        <v>2422.44</v>
      </c>
      <c r="H593" s="34">
        <f t="shared" si="11"/>
        <v>507.55999999999995</v>
      </c>
    </row>
    <row r="594" spans="1:8" x14ac:dyDescent="0.25">
      <c r="E594" s="4" t="s">
        <v>752</v>
      </c>
      <c r="F594" s="5">
        <v>170</v>
      </c>
      <c r="H594" s="34">
        <f t="shared" si="11"/>
        <v>170</v>
      </c>
    </row>
    <row r="595" spans="1:8" x14ac:dyDescent="0.25">
      <c r="E595" s="4" t="s">
        <v>188</v>
      </c>
      <c r="F595" s="5">
        <v>150</v>
      </c>
      <c r="G595" s="20">
        <f>40.28</f>
        <v>40.28</v>
      </c>
      <c r="H595" s="34">
        <f t="shared" si="11"/>
        <v>109.72</v>
      </c>
    </row>
    <row r="596" spans="1:8" ht="15" thickBot="1" x14ac:dyDescent="0.3">
      <c r="E596" s="4" t="s">
        <v>494</v>
      </c>
      <c r="F596" s="6">
        <v>100</v>
      </c>
      <c r="G596" s="21"/>
      <c r="H596" s="25">
        <f t="shared" si="11"/>
        <v>100</v>
      </c>
    </row>
    <row r="597" spans="1:8" x14ac:dyDescent="0.25">
      <c r="F597" s="5">
        <f>SUM(F593:F596)</f>
        <v>3350</v>
      </c>
      <c r="G597" s="5">
        <f>SUM(G593:G596)</f>
        <v>2462.7200000000003</v>
      </c>
      <c r="H597" s="5">
        <f>SUM(H593:H596)</f>
        <v>887.28</v>
      </c>
    </row>
    <row r="598" spans="1:8" x14ac:dyDescent="0.25">
      <c r="A598" s="22">
        <v>42411</v>
      </c>
      <c r="B598" s="4" t="s">
        <v>402</v>
      </c>
      <c r="C598" s="4" t="s">
        <v>942</v>
      </c>
      <c r="D598" s="4" t="s">
        <v>443</v>
      </c>
      <c r="E598" s="4" t="s">
        <v>943</v>
      </c>
      <c r="F598" s="5">
        <v>13000</v>
      </c>
      <c r="G598" s="20">
        <v>13000</v>
      </c>
      <c r="H598" s="34">
        <f t="shared" si="11"/>
        <v>0</v>
      </c>
    </row>
    <row r="599" spans="1:8" x14ac:dyDescent="0.25">
      <c r="E599" s="4" t="s">
        <v>720</v>
      </c>
      <c r="F599" s="5">
        <f>350+350</f>
        <v>700</v>
      </c>
      <c r="H599" s="34">
        <f t="shared" si="11"/>
        <v>700</v>
      </c>
    </row>
    <row r="600" spans="1:8" ht="15" thickBot="1" x14ac:dyDescent="0.3">
      <c r="E600" s="4" t="s">
        <v>140</v>
      </c>
      <c r="F600" s="6">
        <v>100</v>
      </c>
      <c r="G600" s="21">
        <v>100</v>
      </c>
      <c r="H600" s="25">
        <f t="shared" si="11"/>
        <v>0</v>
      </c>
    </row>
    <row r="601" spans="1:8" x14ac:dyDescent="0.25">
      <c r="F601" s="5">
        <f>SUM(F598:F600)</f>
        <v>13800</v>
      </c>
      <c r="G601" s="5">
        <f>SUM(G598:G600)</f>
        <v>13100</v>
      </c>
      <c r="H601" s="5">
        <f>SUM(H598:H600)</f>
        <v>700</v>
      </c>
    </row>
    <row r="602" spans="1:8" x14ac:dyDescent="0.25">
      <c r="B602" s="4" t="s">
        <v>237</v>
      </c>
      <c r="C602" s="4" t="s">
        <v>944</v>
      </c>
      <c r="D602" s="4" t="s">
        <v>557</v>
      </c>
      <c r="E602" s="4" t="s">
        <v>945</v>
      </c>
      <c r="F602" s="5">
        <v>4500</v>
      </c>
      <c r="G602" s="20">
        <v>4500</v>
      </c>
      <c r="H602" s="34">
        <f t="shared" si="11"/>
        <v>0</v>
      </c>
    </row>
    <row r="603" spans="1:8" x14ac:dyDescent="0.25">
      <c r="E603" s="4" t="s">
        <v>387</v>
      </c>
      <c r="F603" s="5">
        <f>10+5+10+10+5+16+24+95+11+1+3</f>
        <v>190</v>
      </c>
      <c r="G603" s="20">
        <f>72.63</f>
        <v>72.63</v>
      </c>
      <c r="H603" s="34">
        <f t="shared" si="11"/>
        <v>117.37</v>
      </c>
    </row>
    <row r="604" spans="1:8" ht="15" thickBot="1" x14ac:dyDescent="0.3">
      <c r="E604" s="4" t="s">
        <v>302</v>
      </c>
      <c r="F604" s="6">
        <v>28</v>
      </c>
      <c r="G604" s="21">
        <f>12.74</f>
        <v>12.74</v>
      </c>
      <c r="H604" s="25">
        <f t="shared" si="11"/>
        <v>15.26</v>
      </c>
    </row>
    <row r="605" spans="1:8" x14ac:dyDescent="0.25">
      <c r="F605" s="5">
        <f>SUM(F602:F604)</f>
        <v>4718</v>
      </c>
      <c r="G605" s="5">
        <f>SUM(G602:G604)</f>
        <v>4585.37</v>
      </c>
      <c r="H605" s="5">
        <f>SUM(H602:H604)</f>
        <v>132.63</v>
      </c>
    </row>
    <row r="606" spans="1:8" x14ac:dyDescent="0.25">
      <c r="B606" s="4" t="s">
        <v>862</v>
      </c>
      <c r="C606" s="4" t="s">
        <v>946</v>
      </c>
      <c r="D606" s="4" t="s">
        <v>443</v>
      </c>
      <c r="E606" s="4" t="s">
        <v>249</v>
      </c>
      <c r="F606" s="5">
        <v>500</v>
      </c>
      <c r="G606" s="20">
        <v>500</v>
      </c>
      <c r="H606" s="34">
        <f t="shared" si="11"/>
        <v>0</v>
      </c>
    </row>
    <row r="607" spans="1:8" ht="15" thickBot="1" x14ac:dyDescent="0.3">
      <c r="E607" s="4" t="s">
        <v>947</v>
      </c>
      <c r="F607" s="6">
        <v>20.81</v>
      </c>
      <c r="G607" s="21"/>
      <c r="H607" s="25">
        <f t="shared" si="11"/>
        <v>20.81</v>
      </c>
    </row>
    <row r="608" spans="1:8" x14ac:dyDescent="0.25">
      <c r="F608" s="5">
        <f>SUM(F606:F607)</f>
        <v>520.80999999999995</v>
      </c>
      <c r="G608" s="5">
        <f>SUM(G606:G607)</f>
        <v>500</v>
      </c>
      <c r="H608" s="5">
        <f>SUM(H606:H607)</f>
        <v>20.81</v>
      </c>
    </row>
    <row r="609" spans="2:8" x14ac:dyDescent="0.25">
      <c r="B609" s="4" t="s">
        <v>83</v>
      </c>
      <c r="C609" s="4" t="s">
        <v>948</v>
      </c>
      <c r="D609" s="4" t="s">
        <v>557</v>
      </c>
      <c r="E609" s="4" t="s">
        <v>720</v>
      </c>
      <c r="F609" s="5">
        <v>627</v>
      </c>
      <c r="H609" s="34">
        <f t="shared" si="11"/>
        <v>627</v>
      </c>
    </row>
    <row r="610" spans="2:8" ht="15" thickBot="1" x14ac:dyDescent="0.3">
      <c r="E610" s="4" t="s">
        <v>795</v>
      </c>
      <c r="F610" s="6">
        <v>165</v>
      </c>
      <c r="G610" s="21"/>
      <c r="H610" s="25">
        <f t="shared" si="11"/>
        <v>165</v>
      </c>
    </row>
    <row r="611" spans="2:8" x14ac:dyDescent="0.25">
      <c r="F611" s="5">
        <f>SUM(F609:F610)</f>
        <v>792</v>
      </c>
      <c r="G611" s="5">
        <f>SUM(G609:G610)</f>
        <v>0</v>
      </c>
      <c r="H611" s="5">
        <f>SUM(H609:H610)</f>
        <v>792</v>
      </c>
    </row>
    <row r="612" spans="2:8" x14ac:dyDescent="0.25">
      <c r="B612" s="4" t="s">
        <v>949</v>
      </c>
      <c r="C612" s="4" t="s">
        <v>950</v>
      </c>
      <c r="D612" s="4" t="s">
        <v>443</v>
      </c>
      <c r="E612" s="4" t="s">
        <v>389</v>
      </c>
      <c r="F612" s="5">
        <v>200</v>
      </c>
      <c r="H612" s="34">
        <f t="shared" si="11"/>
        <v>200</v>
      </c>
    </row>
    <row r="613" spans="2:8" x14ac:dyDescent="0.25">
      <c r="E613" s="4" t="s">
        <v>951</v>
      </c>
      <c r="F613" s="5">
        <v>45</v>
      </c>
      <c r="H613" s="34">
        <f t="shared" si="11"/>
        <v>45</v>
      </c>
    </row>
    <row r="614" spans="2:8" x14ac:dyDescent="0.25">
      <c r="E614" s="4" t="s">
        <v>952</v>
      </c>
      <c r="F614" s="5">
        <v>516</v>
      </c>
      <c r="H614" s="34">
        <f t="shared" si="11"/>
        <v>516</v>
      </c>
    </row>
    <row r="615" spans="2:8" x14ac:dyDescent="0.25">
      <c r="E615" s="4" t="s">
        <v>926</v>
      </c>
      <c r="F615" s="5">
        <v>240</v>
      </c>
      <c r="H615" s="34">
        <f t="shared" si="11"/>
        <v>240</v>
      </c>
    </row>
    <row r="616" spans="2:8" ht="15" thickBot="1" x14ac:dyDescent="0.3">
      <c r="E616" s="4" t="s">
        <v>953</v>
      </c>
      <c r="F616" s="6">
        <v>25</v>
      </c>
      <c r="G616" s="21"/>
      <c r="H616" s="25">
        <f t="shared" si="11"/>
        <v>25</v>
      </c>
    </row>
    <row r="617" spans="2:8" x14ac:dyDescent="0.25">
      <c r="F617" s="5">
        <f>SUM(F612:F616)</f>
        <v>1026</v>
      </c>
      <c r="G617" s="5">
        <f>SUM(G612:G616)</f>
        <v>0</v>
      </c>
      <c r="H617" s="5">
        <f>SUM(H612:H616)</f>
        <v>1026</v>
      </c>
    </row>
    <row r="618" spans="2:8" x14ac:dyDescent="0.25">
      <c r="B618" s="4" t="s">
        <v>180</v>
      </c>
      <c r="C618" s="4" t="s">
        <v>954</v>
      </c>
      <c r="D618" s="4" t="s">
        <v>557</v>
      </c>
      <c r="E618" s="4" t="s">
        <v>955</v>
      </c>
      <c r="F618" s="5">
        <v>1500</v>
      </c>
      <c r="G618" s="20">
        <v>1500</v>
      </c>
      <c r="H618" s="34">
        <f t="shared" si="11"/>
        <v>0</v>
      </c>
    </row>
    <row r="619" spans="2:8" x14ac:dyDescent="0.25">
      <c r="E619" s="4" t="s">
        <v>494</v>
      </c>
      <c r="F619" s="5">
        <v>800</v>
      </c>
      <c r="G619" s="20">
        <v>750</v>
      </c>
      <c r="H619" s="34">
        <f t="shared" si="11"/>
        <v>50</v>
      </c>
    </row>
    <row r="620" spans="2:8" x14ac:dyDescent="0.25">
      <c r="E620" s="4" t="s">
        <v>956</v>
      </c>
      <c r="F620" s="5">
        <v>2200</v>
      </c>
      <c r="G620" s="20">
        <v>2200</v>
      </c>
      <c r="H620" s="34">
        <f t="shared" ref="H620:H633" si="12">IFERROR(F620-G620, " ")</f>
        <v>0</v>
      </c>
    </row>
    <row r="621" spans="2:8" x14ac:dyDescent="0.25">
      <c r="E621" s="4" t="s">
        <v>957</v>
      </c>
      <c r="F621" s="5">
        <v>240</v>
      </c>
      <c r="G621" s="20">
        <v>240</v>
      </c>
      <c r="H621" s="34">
        <f t="shared" si="12"/>
        <v>0</v>
      </c>
    </row>
    <row r="622" spans="2:8" x14ac:dyDescent="0.25">
      <c r="E622" s="4" t="s">
        <v>188</v>
      </c>
      <c r="F622" s="5">
        <v>250</v>
      </c>
      <c r="G622" s="20">
        <f>144.99+50.84+6</f>
        <v>201.83</v>
      </c>
      <c r="H622" s="34">
        <f t="shared" si="12"/>
        <v>48.169999999999987</v>
      </c>
    </row>
    <row r="623" spans="2:8" x14ac:dyDescent="0.25">
      <c r="E623" s="4" t="s">
        <v>958</v>
      </c>
      <c r="F623" s="5">
        <v>75</v>
      </c>
      <c r="G623" s="20">
        <f>55</f>
        <v>55</v>
      </c>
      <c r="H623" s="34">
        <f t="shared" si="12"/>
        <v>20</v>
      </c>
    </row>
    <row r="624" spans="2:8" x14ac:dyDescent="0.25">
      <c r="E624" s="4" t="s">
        <v>79</v>
      </c>
      <c r="F624" s="5">
        <v>80</v>
      </c>
      <c r="G624" s="20">
        <v>62</v>
      </c>
      <c r="H624" s="34">
        <f t="shared" si="12"/>
        <v>18</v>
      </c>
    </row>
    <row r="625" spans="1:8" ht="15" thickBot="1" x14ac:dyDescent="0.3">
      <c r="E625" s="4" t="s">
        <v>388</v>
      </c>
      <c r="F625" s="6">
        <v>20</v>
      </c>
      <c r="G625" s="21"/>
      <c r="H625" s="25">
        <f t="shared" si="12"/>
        <v>20</v>
      </c>
    </row>
    <row r="626" spans="1:8" x14ac:dyDescent="0.25">
      <c r="F626" s="5">
        <f>SUM(F618:F625)</f>
        <v>5165</v>
      </c>
      <c r="G626" s="5">
        <f>SUM(G618:G625)</f>
        <v>5008.83</v>
      </c>
      <c r="H626" s="5">
        <f>SUM(H618:H625)</f>
        <v>156.16999999999999</v>
      </c>
    </row>
    <row r="627" spans="1:8" x14ac:dyDescent="0.25">
      <c r="A627" s="22">
        <v>42418</v>
      </c>
      <c r="B627" s="4" t="s">
        <v>312</v>
      </c>
      <c r="C627" s="4" t="s">
        <v>969</v>
      </c>
      <c r="D627" s="4" t="s">
        <v>443</v>
      </c>
      <c r="E627" s="4" t="s">
        <v>970</v>
      </c>
      <c r="F627" s="5">
        <f>(2808.1+2533.8)/2</f>
        <v>2670.95</v>
      </c>
      <c r="G627" s="20">
        <f>84.23+40.1+27.5+43.31+24+125.72+80.27+25+22.13+178.74+253.26+376.92</f>
        <v>1281.18</v>
      </c>
      <c r="H627" s="34">
        <f t="shared" si="12"/>
        <v>1389.7699999999998</v>
      </c>
    </row>
    <row r="628" spans="1:8" ht="15" thickBot="1" x14ac:dyDescent="0.3">
      <c r="E628" s="4" t="s">
        <v>33</v>
      </c>
      <c r="F628" s="6">
        <v>350</v>
      </c>
      <c r="G628" s="21">
        <v>350</v>
      </c>
      <c r="H628" s="25">
        <f t="shared" si="12"/>
        <v>0</v>
      </c>
    </row>
    <row r="629" spans="1:8" x14ac:dyDescent="0.25">
      <c r="F629" s="5">
        <f>SUM(F627:F628)</f>
        <v>3020.95</v>
      </c>
      <c r="G629" s="5">
        <f>SUM(G627:G628)</f>
        <v>1631.18</v>
      </c>
      <c r="H629" s="5">
        <f>SUM(H627:H628)</f>
        <v>1389.7699999999998</v>
      </c>
    </row>
    <row r="630" spans="1:8" x14ac:dyDescent="0.25">
      <c r="B630" s="4" t="s">
        <v>971</v>
      </c>
      <c r="C630" s="4" t="s">
        <v>972</v>
      </c>
      <c r="D630" s="4" t="s">
        <v>456</v>
      </c>
      <c r="E630" s="4" t="s">
        <v>973</v>
      </c>
      <c r="F630" s="5">
        <v>101600</v>
      </c>
      <c r="G630" s="20">
        <f>50800+50800</f>
        <v>101600</v>
      </c>
      <c r="H630" s="34">
        <f t="shared" si="12"/>
        <v>0</v>
      </c>
    </row>
    <row r="631" spans="1:8" x14ac:dyDescent="0.25">
      <c r="E631" s="4" t="s">
        <v>454</v>
      </c>
      <c r="F631" s="5">
        <v>8008</v>
      </c>
      <c r="H631" s="34">
        <f t="shared" si="12"/>
        <v>8008</v>
      </c>
    </row>
    <row r="632" spans="1:8" x14ac:dyDescent="0.25">
      <c r="E632" s="4" t="s">
        <v>974</v>
      </c>
      <c r="F632" s="5">
        <v>6835</v>
      </c>
      <c r="G632" s="20">
        <f>6835</f>
        <v>6835</v>
      </c>
      <c r="H632" s="34">
        <f t="shared" si="12"/>
        <v>0</v>
      </c>
    </row>
    <row r="633" spans="1:8" x14ac:dyDescent="0.25">
      <c r="E633" s="4" t="s">
        <v>975</v>
      </c>
      <c r="F633" s="5">
        <v>3000</v>
      </c>
      <c r="H633" s="34">
        <f t="shared" si="12"/>
        <v>3000</v>
      </c>
    </row>
    <row r="634" spans="1:8" x14ac:dyDescent="0.25">
      <c r="E634" s="4" t="s">
        <v>477</v>
      </c>
      <c r="F634" s="5">
        <v>2320</v>
      </c>
      <c r="G634" s="20">
        <v>1540</v>
      </c>
      <c r="H634" s="34">
        <f>IFERROR(F634-G634, " ")</f>
        <v>780</v>
      </c>
    </row>
    <row r="635" spans="1:8" x14ac:dyDescent="0.25">
      <c r="E635" s="4" t="s">
        <v>976</v>
      </c>
      <c r="F635" s="5">
        <v>1540</v>
      </c>
      <c r="G635" s="20">
        <v>1000</v>
      </c>
      <c r="H635" s="34">
        <f>IFERROR(F635-G635, " ")</f>
        <v>540</v>
      </c>
    </row>
    <row r="636" spans="1:8" x14ac:dyDescent="0.25">
      <c r="E636" s="4" t="s">
        <v>977</v>
      </c>
      <c r="F636" s="5">
        <v>1250</v>
      </c>
      <c r="G636" s="20">
        <v>1250</v>
      </c>
      <c r="H636" s="34">
        <f t="shared" ref="H636" si="13">IFERROR(F635-G636, " ")</f>
        <v>290</v>
      </c>
    </row>
    <row r="637" spans="1:8" x14ac:dyDescent="0.25">
      <c r="E637" s="4" t="s">
        <v>892</v>
      </c>
      <c r="F637" s="5">
        <v>911</v>
      </c>
      <c r="G637" s="20">
        <v>911</v>
      </c>
      <c r="H637" s="34">
        <f t="shared" ref="H637:H642" si="14">IFERROR(F637-G637, " ")</f>
        <v>0</v>
      </c>
    </row>
    <row r="638" spans="1:8" x14ac:dyDescent="0.25">
      <c r="E638" s="4" t="s">
        <v>978</v>
      </c>
      <c r="F638" s="5">
        <v>810</v>
      </c>
      <c r="G638" s="20">
        <f>400</f>
        <v>400</v>
      </c>
      <c r="H638" s="34">
        <f t="shared" si="14"/>
        <v>410</v>
      </c>
    </row>
    <row r="639" spans="1:8" x14ac:dyDescent="0.25">
      <c r="E639" s="4" t="s">
        <v>562</v>
      </c>
      <c r="F639" s="5">
        <v>770</v>
      </c>
      <c r="G639" s="20">
        <f>770</f>
        <v>770</v>
      </c>
      <c r="H639" s="34">
        <f t="shared" si="14"/>
        <v>0</v>
      </c>
    </row>
    <row r="640" spans="1:8" x14ac:dyDescent="0.25">
      <c r="E640" s="4" t="s">
        <v>979</v>
      </c>
      <c r="F640" s="5">
        <v>700</v>
      </c>
      <c r="H640" s="34">
        <f t="shared" si="14"/>
        <v>700</v>
      </c>
    </row>
    <row r="641" spans="5:10" x14ac:dyDescent="0.25">
      <c r="E641" s="4" t="s">
        <v>478</v>
      </c>
      <c r="F641" s="5">
        <v>614.88</v>
      </c>
      <c r="H641" s="34">
        <f t="shared" si="14"/>
        <v>614.88</v>
      </c>
    </row>
    <row r="642" spans="5:10" x14ac:dyDescent="0.25">
      <c r="E642" s="4" t="s">
        <v>980</v>
      </c>
      <c r="F642" s="5">
        <v>600</v>
      </c>
      <c r="G642" s="20">
        <f>402</f>
        <v>402</v>
      </c>
      <c r="H642" s="34">
        <f t="shared" si="14"/>
        <v>198</v>
      </c>
    </row>
    <row r="643" spans="5:10" x14ac:dyDescent="0.25">
      <c r="E643" s="4" t="s">
        <v>981</v>
      </c>
      <c r="F643" s="5">
        <v>550</v>
      </c>
      <c r="G643" s="20">
        <f>360.67+43.8+129</f>
        <v>533.47</v>
      </c>
      <c r="H643" s="34" t="str">
        <f>IFERROR(#REF!-G643, " ")</f>
        <v xml:space="preserve"> </v>
      </c>
      <c r="J643" s="4" t="s">
        <v>903</v>
      </c>
    </row>
    <row r="644" spans="5:10" x14ac:dyDescent="0.25">
      <c r="E644" s="4" t="s">
        <v>982</v>
      </c>
      <c r="F644" s="5">
        <v>505</v>
      </c>
      <c r="G644" s="20">
        <v>505</v>
      </c>
      <c r="H644" s="34">
        <f t="shared" ref="H644:H655" si="15">IFERROR(F644-G644, " ")</f>
        <v>0</v>
      </c>
    </row>
    <row r="645" spans="5:10" x14ac:dyDescent="0.25">
      <c r="E645" s="4" t="s">
        <v>622</v>
      </c>
      <c r="F645" s="5">
        <v>462.96</v>
      </c>
      <c r="H645" s="34">
        <f t="shared" si="15"/>
        <v>462.96</v>
      </c>
    </row>
    <row r="646" spans="5:10" x14ac:dyDescent="0.25">
      <c r="E646" s="4" t="s">
        <v>983</v>
      </c>
      <c r="F646" s="5">
        <v>424.2</v>
      </c>
      <c r="H646" s="34">
        <f t="shared" si="15"/>
        <v>424.2</v>
      </c>
    </row>
    <row r="647" spans="5:10" x14ac:dyDescent="0.25">
      <c r="E647" s="4" t="s">
        <v>984</v>
      </c>
      <c r="F647" s="5">
        <v>300</v>
      </c>
      <c r="G647" s="20">
        <f>83.82+46.21</f>
        <v>130.03</v>
      </c>
      <c r="H647" s="34">
        <f t="shared" si="15"/>
        <v>169.97</v>
      </c>
    </row>
    <row r="648" spans="5:10" x14ac:dyDescent="0.25">
      <c r="E648" s="4" t="s">
        <v>356</v>
      </c>
      <c r="F648" s="5">
        <v>250</v>
      </c>
      <c r="G648" s="20">
        <f>192.11+57.89</f>
        <v>250</v>
      </c>
      <c r="H648" s="34">
        <f t="shared" si="15"/>
        <v>0</v>
      </c>
    </row>
    <row r="649" spans="5:10" x14ac:dyDescent="0.25">
      <c r="E649" s="4" t="s">
        <v>671</v>
      </c>
      <c r="F649" s="5">
        <v>242.4</v>
      </c>
      <c r="H649" s="34">
        <f t="shared" si="15"/>
        <v>242.4</v>
      </c>
    </row>
    <row r="650" spans="5:10" x14ac:dyDescent="0.25">
      <c r="E650" s="4" t="s">
        <v>625</v>
      </c>
      <c r="F650" s="5">
        <v>200</v>
      </c>
      <c r="H650" s="34">
        <f t="shared" si="15"/>
        <v>200</v>
      </c>
    </row>
    <row r="651" spans="5:10" x14ac:dyDescent="0.25">
      <c r="E651" s="4" t="s">
        <v>985</v>
      </c>
      <c r="F651" s="5">
        <v>200</v>
      </c>
      <c r="G651" s="20">
        <v>190.5</v>
      </c>
      <c r="H651" s="34">
        <f t="shared" si="15"/>
        <v>9.5</v>
      </c>
    </row>
    <row r="652" spans="5:10" x14ac:dyDescent="0.25">
      <c r="E652" s="4" t="s">
        <v>986</v>
      </c>
      <c r="F652" s="5">
        <v>178.76</v>
      </c>
      <c r="H652" s="34">
        <f t="shared" si="15"/>
        <v>178.76</v>
      </c>
    </row>
    <row r="653" spans="5:10" x14ac:dyDescent="0.25">
      <c r="E653" s="4" t="s">
        <v>987</v>
      </c>
      <c r="F653" s="5">
        <v>127.8</v>
      </c>
      <c r="G653" s="20">
        <f>122.94</f>
        <v>122.94</v>
      </c>
      <c r="H653" s="34">
        <f t="shared" si="15"/>
        <v>4.8599999999999994</v>
      </c>
    </row>
    <row r="654" spans="5:10" x14ac:dyDescent="0.25">
      <c r="E654" s="4" t="s">
        <v>479</v>
      </c>
      <c r="F654" s="5">
        <v>100</v>
      </c>
      <c r="H654" s="34">
        <f t="shared" si="15"/>
        <v>100</v>
      </c>
    </row>
    <row r="655" spans="5:10" ht="15" thickBot="1" x14ac:dyDescent="0.3">
      <c r="E655" s="4" t="s">
        <v>657</v>
      </c>
      <c r="F655" s="6">
        <v>-2500</v>
      </c>
      <c r="G655" s="21"/>
      <c r="H655" s="25">
        <f t="shared" si="15"/>
        <v>-2500</v>
      </c>
    </row>
    <row r="656" spans="5:10" x14ac:dyDescent="0.25">
      <c r="F656" s="5">
        <f>SUM(F630:F655)</f>
        <v>130000</v>
      </c>
      <c r="G656" s="5">
        <f>SUM(G630:G655)</f>
        <v>116439.94</v>
      </c>
      <c r="H656" s="5">
        <f>SUM(H630:H655)</f>
        <v>13833.529999999999</v>
      </c>
    </row>
    <row r="657" spans="2:8" x14ac:dyDescent="0.25">
      <c r="B657" s="4" t="s">
        <v>990</v>
      </c>
      <c r="C657" s="4" t="s">
        <v>988</v>
      </c>
      <c r="D657" s="4" t="s">
        <v>557</v>
      </c>
      <c r="E657" s="4" t="s">
        <v>945</v>
      </c>
      <c r="F657" s="5">
        <v>1802</v>
      </c>
      <c r="H657" s="34">
        <f>IFERROR(F657-G657, " ")</f>
        <v>1802</v>
      </c>
    </row>
    <row r="658" spans="2:8" x14ac:dyDescent="0.25">
      <c r="E658" s="4" t="s">
        <v>608</v>
      </c>
      <c r="F658" s="5">
        <v>400</v>
      </c>
      <c r="G658" s="20">
        <v>400</v>
      </c>
      <c r="H658" s="34">
        <f>IFERROR(F658-G658, " ")</f>
        <v>0</v>
      </c>
    </row>
    <row r="659" spans="2:8" x14ac:dyDescent="0.25">
      <c r="E659" s="4" t="s">
        <v>989</v>
      </c>
      <c r="F659" s="5">
        <v>1600</v>
      </c>
      <c r="G659" s="20">
        <v>1600</v>
      </c>
      <c r="H659" s="34">
        <f>IFERROR(F659-G659, " ")</f>
        <v>0</v>
      </c>
    </row>
    <row r="660" spans="2:8" x14ac:dyDescent="0.25">
      <c r="E660" s="4" t="s">
        <v>795</v>
      </c>
      <c r="F660" s="5">
        <v>375.5</v>
      </c>
      <c r="H660" s="34">
        <f>IFERROR(F660-G660, " ")</f>
        <v>375.5</v>
      </c>
    </row>
    <row r="661" spans="2:8" ht="15" thickBot="1" x14ac:dyDescent="0.3">
      <c r="E661" s="4" t="s">
        <v>494</v>
      </c>
      <c r="F661" s="6">
        <v>125</v>
      </c>
      <c r="G661" s="21"/>
      <c r="H661" s="25">
        <f>IFERROR(F661-G661, " ")</f>
        <v>125</v>
      </c>
    </row>
    <row r="662" spans="2:8" x14ac:dyDescent="0.25">
      <c r="F662" s="5">
        <f>SUM(F657:F661)</f>
        <v>4302.5</v>
      </c>
      <c r="G662" s="5">
        <f>SUM(G657:G661)</f>
        <v>2000</v>
      </c>
      <c r="H662" s="5">
        <f>SUM(H657:H661)</f>
        <v>2302.5</v>
      </c>
    </row>
    <row r="663" spans="2:8" x14ac:dyDescent="0.25">
      <c r="B663" s="4" t="s">
        <v>83</v>
      </c>
      <c r="C663" s="4" t="s">
        <v>991</v>
      </c>
      <c r="D663" s="4" t="s">
        <v>557</v>
      </c>
      <c r="E663" s="4" t="s">
        <v>945</v>
      </c>
      <c r="F663" s="5">
        <f>2976.3-250.2</f>
        <v>2726.1000000000004</v>
      </c>
      <c r="H663" s="34">
        <f>IFERROR(F663-G663, " ")</f>
        <v>2726.1000000000004</v>
      </c>
    </row>
    <row r="664" spans="2:8" x14ac:dyDescent="0.25">
      <c r="E664" s="4" t="s">
        <v>188</v>
      </c>
      <c r="F664" s="32">
        <v>362.75</v>
      </c>
      <c r="G664" s="33">
        <f>162.78+58.95+29.97+85.8</f>
        <v>337.5</v>
      </c>
      <c r="H664" s="34">
        <f>IFERROR(F664-G664, " ")</f>
        <v>25.25</v>
      </c>
    </row>
    <row r="665" spans="2:8" ht="15" thickBot="1" x14ac:dyDescent="0.3">
      <c r="E665" s="4" t="s">
        <v>608</v>
      </c>
      <c r="F665" s="6">
        <v>400</v>
      </c>
      <c r="G665" s="21">
        <v>400</v>
      </c>
      <c r="H665" s="25">
        <f>IFERROR(F665-G665, " ")</f>
        <v>0</v>
      </c>
    </row>
    <row r="666" spans="2:8" x14ac:dyDescent="0.25">
      <c r="F666" s="5">
        <f>SUM(F663:F665)</f>
        <v>3488.8500000000004</v>
      </c>
      <c r="G666" s="5">
        <f>SUM(G663:G664)</f>
        <v>337.5</v>
      </c>
      <c r="H666" s="5">
        <f>SUM(H663:H664)</f>
        <v>2751.3500000000004</v>
      </c>
    </row>
    <row r="667" spans="2:8" x14ac:dyDescent="0.25">
      <c r="B667" s="4" t="s">
        <v>88</v>
      </c>
      <c r="C667" s="4" t="s">
        <v>992</v>
      </c>
      <c r="D667" s="4" t="s">
        <v>443</v>
      </c>
      <c r="E667" s="4" t="s">
        <v>993</v>
      </c>
      <c r="F667" s="5">
        <v>1226.25</v>
      </c>
      <c r="G667" s="20">
        <v>1226.25</v>
      </c>
      <c r="H667" s="34">
        <f t="shared" ref="H667:H675" si="16">IFERROR(F667-G667, " ")</f>
        <v>0</v>
      </c>
    </row>
    <row r="668" spans="2:8" x14ac:dyDescent="0.25">
      <c r="E668" s="4" t="s">
        <v>994</v>
      </c>
      <c r="F668" s="5">
        <v>2250</v>
      </c>
      <c r="G668" s="20">
        <f>2250</f>
        <v>2250</v>
      </c>
      <c r="H668" s="34">
        <f t="shared" si="16"/>
        <v>0</v>
      </c>
    </row>
    <row r="669" spans="2:8" x14ac:dyDescent="0.25">
      <c r="E669" s="4" t="s">
        <v>995</v>
      </c>
      <c r="F669" s="5">
        <v>445.36</v>
      </c>
      <c r="G669" s="20">
        <f>217.2+188.06</f>
        <v>405.26</v>
      </c>
      <c r="H669" s="34">
        <f t="shared" si="16"/>
        <v>40.100000000000023</v>
      </c>
    </row>
    <row r="670" spans="2:8" x14ac:dyDescent="0.25">
      <c r="E670" s="4" t="s">
        <v>996</v>
      </c>
      <c r="F670" s="5">
        <v>318.41000000000003</v>
      </c>
      <c r="G670" s="20">
        <f>309.57</f>
        <v>309.57</v>
      </c>
      <c r="H670" s="34">
        <f t="shared" si="16"/>
        <v>8.8400000000000318</v>
      </c>
    </row>
    <row r="671" spans="2:8" x14ac:dyDescent="0.25">
      <c r="E671" s="4" t="s">
        <v>997</v>
      </c>
      <c r="F671" s="5">
        <v>82.5</v>
      </c>
      <c r="G671" s="20" t="s">
        <v>903</v>
      </c>
      <c r="H671" s="34" t="str">
        <f t="shared" si="16"/>
        <v xml:space="preserve"> </v>
      </c>
    </row>
    <row r="672" spans="2:8" x14ac:dyDescent="0.25">
      <c r="E672" s="4" t="s">
        <v>998</v>
      </c>
      <c r="F672" s="5">
        <v>722.5</v>
      </c>
      <c r="G672" s="20">
        <v>722.5</v>
      </c>
      <c r="H672" s="34">
        <f t="shared" si="16"/>
        <v>0</v>
      </c>
    </row>
    <row r="673" spans="1:9" x14ac:dyDescent="0.25">
      <c r="E673" s="4" t="s">
        <v>999</v>
      </c>
      <c r="F673" s="5">
        <v>96.5</v>
      </c>
      <c r="H673" s="34">
        <f t="shared" si="16"/>
        <v>96.5</v>
      </c>
    </row>
    <row r="674" spans="1:9" x14ac:dyDescent="0.25">
      <c r="E674" s="4" t="s">
        <v>293</v>
      </c>
      <c r="F674" s="5">
        <v>273.70999999999998</v>
      </c>
      <c r="H674" s="34">
        <f t="shared" si="16"/>
        <v>273.70999999999998</v>
      </c>
    </row>
    <row r="675" spans="1:9" ht="15" thickBot="1" x14ac:dyDescent="0.3">
      <c r="E675" s="4" t="s">
        <v>1000</v>
      </c>
      <c r="F675" s="6">
        <v>126</v>
      </c>
      <c r="G675" s="21">
        <v>105.19</v>
      </c>
      <c r="H675" s="25">
        <f t="shared" si="16"/>
        <v>20.810000000000002</v>
      </c>
    </row>
    <row r="676" spans="1:9" x14ac:dyDescent="0.25">
      <c r="F676" s="5">
        <f>SUM(F667:F675)</f>
        <v>5541.2300000000005</v>
      </c>
      <c r="G676" s="5">
        <f>SUM(G667:G675)</f>
        <v>5018.7699999999995</v>
      </c>
      <c r="H676" s="5">
        <f>SUM(H667:H675)</f>
        <v>439.96000000000004</v>
      </c>
    </row>
    <row r="677" spans="1:9" x14ac:dyDescent="0.25">
      <c r="B677" s="4" t="s">
        <v>88</v>
      </c>
      <c r="C677" s="4" t="s">
        <v>1001</v>
      </c>
      <c r="D677" s="4" t="s">
        <v>443</v>
      </c>
      <c r="E677" s="4" t="s">
        <v>63</v>
      </c>
      <c r="F677" s="5">
        <v>350</v>
      </c>
      <c r="G677" s="20">
        <v>350</v>
      </c>
      <c r="H677" s="34">
        <f>IFERROR(F677-G677, " ")</f>
        <v>0</v>
      </c>
    </row>
    <row r="678" spans="1:9" ht="15" thickBot="1" x14ac:dyDescent="0.3">
      <c r="E678" s="4" t="s">
        <v>1002</v>
      </c>
      <c r="F678" s="6">
        <v>28</v>
      </c>
      <c r="G678" s="21">
        <v>28</v>
      </c>
      <c r="H678" s="25">
        <f>IFERROR(F678-G678, " ")</f>
        <v>0</v>
      </c>
    </row>
    <row r="679" spans="1:9" x14ac:dyDescent="0.25">
      <c r="F679" s="5">
        <f>SUM(F677:F678)</f>
        <v>378</v>
      </c>
      <c r="G679" s="5">
        <f>SUM(G677:G678)</f>
        <v>378</v>
      </c>
      <c r="H679" s="5">
        <f>SUM(H677:H678)</f>
        <v>0</v>
      </c>
    </row>
    <row r="680" spans="1:9" x14ac:dyDescent="0.25">
      <c r="B680" s="4" t="s">
        <v>88</v>
      </c>
      <c r="C680" s="4" t="s">
        <v>1003</v>
      </c>
      <c r="D680" s="4" t="s">
        <v>443</v>
      </c>
      <c r="E680" s="4" t="s">
        <v>93</v>
      </c>
      <c r="F680" s="5">
        <v>249</v>
      </c>
      <c r="H680" s="34">
        <f>IFERROR(F680-G680, " ")</f>
        <v>249</v>
      </c>
    </row>
    <row r="681" spans="1:9" ht="15" thickBot="1" x14ac:dyDescent="0.3">
      <c r="E681" s="4" t="s">
        <v>1004</v>
      </c>
      <c r="F681" s="6">
        <v>2250</v>
      </c>
      <c r="G681" s="21">
        <f>750+750+750</f>
        <v>2250</v>
      </c>
      <c r="H681" s="25">
        <f>IFERROR(F681-G681, " ")</f>
        <v>0</v>
      </c>
    </row>
    <row r="682" spans="1:9" x14ac:dyDescent="0.25">
      <c r="F682" s="5">
        <f>SUM(F680:F681)</f>
        <v>2499</v>
      </c>
      <c r="G682" s="5">
        <f>SUM(G680:G681)</f>
        <v>2250</v>
      </c>
      <c r="H682" s="36">
        <f>SUM(H680:H681)</f>
        <v>249</v>
      </c>
    </row>
    <row r="683" spans="1:9" x14ac:dyDescent="0.25">
      <c r="B683" s="4" t="s">
        <v>555</v>
      </c>
      <c r="C683" s="4" t="s">
        <v>1005</v>
      </c>
      <c r="D683" s="4" t="s">
        <v>443</v>
      </c>
      <c r="E683" s="4" t="s">
        <v>1006</v>
      </c>
      <c r="F683" s="5">
        <v>15000</v>
      </c>
      <c r="H683" s="34">
        <f>IFERROR(F683-G683, " ")</f>
        <v>15000</v>
      </c>
    </row>
    <row r="684" spans="1:9" x14ac:dyDescent="0.25">
      <c r="E684" s="4" t="s">
        <v>1007</v>
      </c>
      <c r="F684" s="5">
        <v>100</v>
      </c>
      <c r="H684" s="34">
        <f>IFERROR(F684-G684, " ")</f>
        <v>100</v>
      </c>
    </row>
    <row r="685" spans="1:9" x14ac:dyDescent="0.25">
      <c r="E685" s="4" t="s">
        <v>1008</v>
      </c>
      <c r="F685" s="5">
        <v>600</v>
      </c>
      <c r="H685" s="34">
        <f>IFERROR(F685-G685, " ")</f>
        <v>600</v>
      </c>
    </row>
    <row r="686" spans="1:9" ht="15" thickBot="1" x14ac:dyDescent="0.3">
      <c r="E686" s="4" t="s">
        <v>846</v>
      </c>
      <c r="F686" s="6">
        <v>174</v>
      </c>
      <c r="G686" s="21"/>
      <c r="H686" s="25">
        <f>IFERROR(F686-G686, " ")</f>
        <v>174</v>
      </c>
    </row>
    <row r="687" spans="1:9" x14ac:dyDescent="0.25">
      <c r="F687" s="5">
        <f>SUM(F683:F686)</f>
        <v>15874</v>
      </c>
      <c r="G687" s="5">
        <f>SUM(G683:G686)</f>
        <v>0</v>
      </c>
      <c r="H687" s="5">
        <f>SUM(H683:H686)</f>
        <v>15874</v>
      </c>
      <c r="I687" s="45" t="s">
        <v>1056</v>
      </c>
    </row>
    <row r="688" spans="1:9" x14ac:dyDescent="0.25">
      <c r="A688" s="23">
        <v>42424</v>
      </c>
      <c r="B688" s="4" t="s">
        <v>407</v>
      </c>
      <c r="C688" s="4" t="s">
        <v>1011</v>
      </c>
      <c r="D688" s="4" t="s">
        <v>443</v>
      </c>
      <c r="E688" s="4" t="s">
        <v>955</v>
      </c>
      <c r="F688" s="5">
        <v>1400</v>
      </c>
      <c r="G688" s="20">
        <v>1400</v>
      </c>
      <c r="H688" s="34">
        <f>IFERROR(F688-G688, " ")</f>
        <v>0</v>
      </c>
    </row>
    <row r="689" spans="1:8" x14ac:dyDescent="0.25">
      <c r="E689" s="4" t="s">
        <v>188</v>
      </c>
      <c r="F689" s="5">
        <v>78.150000000000006</v>
      </c>
      <c r="G689" s="20">
        <f>78.15</f>
        <v>78.150000000000006</v>
      </c>
      <c r="H689" s="34">
        <f>IFERROR(F689-G689, " ")</f>
        <v>0</v>
      </c>
    </row>
    <row r="690" spans="1:8" ht="15" thickBot="1" x14ac:dyDescent="0.3">
      <c r="E690" s="4" t="s">
        <v>191</v>
      </c>
      <c r="F690" s="6">
        <v>19.98</v>
      </c>
      <c r="G690" s="21">
        <f>91.36-78.15</f>
        <v>13.209999999999994</v>
      </c>
      <c r="H690" s="25">
        <f>IFERROR(F690-G690, " ")</f>
        <v>6.7700000000000067</v>
      </c>
    </row>
    <row r="691" spans="1:8" x14ac:dyDescent="0.25">
      <c r="F691" s="5">
        <f>SUM(F688:F690)</f>
        <v>1498.13</v>
      </c>
      <c r="G691" s="5">
        <f>SUM(G688:G690)</f>
        <v>1491.3600000000001</v>
      </c>
      <c r="H691" s="5">
        <f>SUM(H688:H690)</f>
        <v>6.7700000000000067</v>
      </c>
    </row>
    <row r="692" spans="1:8" x14ac:dyDescent="0.25">
      <c r="B692" s="4" t="s">
        <v>1012</v>
      </c>
      <c r="C692" s="4" t="s">
        <v>988</v>
      </c>
      <c r="D692" s="4" t="s">
        <v>557</v>
      </c>
      <c r="E692" s="4" t="s">
        <v>955</v>
      </c>
      <c r="F692" s="5">
        <v>6700</v>
      </c>
      <c r="G692" s="20">
        <v>6700</v>
      </c>
      <c r="H692" s="34">
        <f>IFERROR(F692-G692, " ")</f>
        <v>0</v>
      </c>
    </row>
    <row r="693" spans="1:8" ht="15" thickBot="1" x14ac:dyDescent="0.3">
      <c r="E693" s="4" t="s">
        <v>188</v>
      </c>
      <c r="F693" s="6">
        <v>347.68</v>
      </c>
      <c r="G693" s="21">
        <f>258.8+83.82</f>
        <v>342.62</v>
      </c>
      <c r="H693" s="25">
        <f>IFERROR(F693-G693, " ")</f>
        <v>5.0600000000000023</v>
      </c>
    </row>
    <row r="694" spans="1:8" x14ac:dyDescent="0.25">
      <c r="F694" s="5">
        <f>SUM(F692:F693)</f>
        <v>7047.68</v>
      </c>
      <c r="G694" s="5">
        <f>SUM(G692:G693)</f>
        <v>7042.62</v>
      </c>
      <c r="H694" s="5">
        <f>SUM(H692:H693)</f>
        <v>5.0600000000000023</v>
      </c>
    </row>
    <row r="695" spans="1:8" x14ac:dyDescent="0.25">
      <c r="B695" s="4" t="s">
        <v>1013</v>
      </c>
      <c r="C695" s="4" t="s">
        <v>1014</v>
      </c>
      <c r="D695" s="4" t="s">
        <v>443</v>
      </c>
      <c r="E695" s="4" t="s">
        <v>1015</v>
      </c>
      <c r="F695" s="5">
        <v>242.31</v>
      </c>
      <c r="G695" s="20">
        <v>242.31</v>
      </c>
      <c r="H695" s="34">
        <f>IFERROR(F695-G695, " ")</f>
        <v>0</v>
      </c>
    </row>
    <row r="696" spans="1:8" x14ac:dyDescent="0.25">
      <c r="E696" s="4" t="s">
        <v>1016</v>
      </c>
      <c r="F696" s="5">
        <v>227.63</v>
      </c>
      <c r="G696" s="20">
        <f>48.09+293.6-242.31+32.65+42.75+51</f>
        <v>225.78000000000006</v>
      </c>
      <c r="H696" s="34">
        <f>IFERROR(F696-G696, " ")</f>
        <v>1.8499999999999375</v>
      </c>
    </row>
    <row r="697" spans="1:8" x14ac:dyDescent="0.25">
      <c r="E697" s="4" t="s">
        <v>191</v>
      </c>
      <c r="F697" s="5">
        <v>3762.1</v>
      </c>
      <c r="G697" s="20">
        <f>3207.2+520+13.96</f>
        <v>3741.16</v>
      </c>
      <c r="H697" s="34">
        <f>IFERROR(F697-G697, " ")</f>
        <v>20.940000000000055</v>
      </c>
    </row>
    <row r="698" spans="1:8" ht="15" thickBot="1" x14ac:dyDescent="0.3">
      <c r="E698" s="4" t="s">
        <v>1017</v>
      </c>
      <c r="F698" s="6">
        <f>1868.85-404</f>
        <v>1464.85</v>
      </c>
      <c r="G698" s="21">
        <f>1100+250+100</f>
        <v>1450</v>
      </c>
      <c r="H698" s="25">
        <f>IFERROR(F698-G698, " ")</f>
        <v>14.849999999999909</v>
      </c>
    </row>
    <row r="699" spans="1:8" x14ac:dyDescent="0.25">
      <c r="F699" s="5">
        <f>SUM(F695:F698)</f>
        <v>5696.8899999999994</v>
      </c>
      <c r="G699" s="5">
        <f>SUM(G695:G698)</f>
        <v>5659.25</v>
      </c>
      <c r="H699" s="5">
        <f>SUM(H695:H698)</f>
        <v>37.639999999999901</v>
      </c>
    </row>
    <row r="700" spans="1:8" x14ac:dyDescent="0.25">
      <c r="A700" s="23">
        <v>42431</v>
      </c>
      <c r="B700" s="4" t="s">
        <v>177</v>
      </c>
      <c r="C700" s="4" t="s">
        <v>1018</v>
      </c>
      <c r="D700" s="4" t="s">
        <v>443</v>
      </c>
      <c r="E700" s="4" t="s">
        <v>1020</v>
      </c>
      <c r="F700" s="5">
        <f>1500+750</f>
        <v>2250</v>
      </c>
      <c r="G700" s="20">
        <f>551.49+1500</f>
        <v>2051.4899999999998</v>
      </c>
      <c r="H700" s="34">
        <f>IFERROR(F700-G700, " ")</f>
        <v>198.51000000000022</v>
      </c>
    </row>
    <row r="701" spans="1:8" ht="15" thickBot="1" x14ac:dyDescent="0.3">
      <c r="E701" s="4" t="s">
        <v>1019</v>
      </c>
      <c r="F701" s="6">
        <v>1250</v>
      </c>
      <c r="G701" s="21"/>
      <c r="H701" s="25">
        <f>IFERROR(F701-G701, " ")</f>
        <v>1250</v>
      </c>
    </row>
    <row r="702" spans="1:8" x14ac:dyDescent="0.25">
      <c r="F702" s="5">
        <f>SUM(F700:F701)</f>
        <v>3500</v>
      </c>
      <c r="G702" s="5">
        <f>SUM(G700:G701)</f>
        <v>2051.4899999999998</v>
      </c>
      <c r="H702" s="5">
        <f>SUM(H700:H701)</f>
        <v>1448.5100000000002</v>
      </c>
    </row>
    <row r="703" spans="1:8" x14ac:dyDescent="0.25">
      <c r="B703" s="4" t="s">
        <v>735</v>
      </c>
      <c r="C703" s="4" t="s">
        <v>1021</v>
      </c>
      <c r="D703" s="4" t="s">
        <v>443</v>
      </c>
      <c r="E703" s="4" t="s">
        <v>191</v>
      </c>
      <c r="F703" s="5">
        <v>2075</v>
      </c>
      <c r="G703" s="20">
        <f>1930</f>
        <v>1930</v>
      </c>
      <c r="H703" s="34">
        <f t="shared" ref="H703:H708" si="17">IFERROR(F703-G703, " ")</f>
        <v>145</v>
      </c>
    </row>
    <row r="704" spans="1:8" x14ac:dyDescent="0.25">
      <c r="E704" s="4" t="s">
        <v>188</v>
      </c>
      <c r="F704" s="5">
        <v>60</v>
      </c>
      <c r="G704" s="20">
        <f>29.4</f>
        <v>29.4</v>
      </c>
      <c r="H704" s="34">
        <f t="shared" si="17"/>
        <v>30.6</v>
      </c>
    </row>
    <row r="705" spans="2:8" x14ac:dyDescent="0.25">
      <c r="E705" s="4" t="s">
        <v>387</v>
      </c>
      <c r="F705" s="5">
        <v>100</v>
      </c>
      <c r="G705" s="20">
        <f>11.36+73</f>
        <v>84.36</v>
      </c>
      <c r="H705" s="34">
        <f t="shared" si="17"/>
        <v>15.64</v>
      </c>
    </row>
    <row r="706" spans="2:8" x14ac:dyDescent="0.25">
      <c r="E706" s="4" t="s">
        <v>79</v>
      </c>
      <c r="F706" s="5">
        <v>75</v>
      </c>
      <c r="G706" s="20">
        <f>55.7</f>
        <v>55.7</v>
      </c>
      <c r="H706" s="34">
        <f t="shared" si="17"/>
        <v>19.299999999999997</v>
      </c>
    </row>
    <row r="707" spans="2:8" x14ac:dyDescent="0.25">
      <c r="E707" s="4" t="s">
        <v>608</v>
      </c>
      <c r="F707" s="5">
        <v>100</v>
      </c>
      <c r="G707" s="20">
        <v>100</v>
      </c>
      <c r="H707" s="34">
        <f t="shared" si="17"/>
        <v>0</v>
      </c>
    </row>
    <row r="708" spans="2:8" ht="15" thickBot="1" x14ac:dyDescent="0.3">
      <c r="E708" s="4" t="s">
        <v>665</v>
      </c>
      <c r="F708" s="6">
        <v>640</v>
      </c>
      <c r="G708" s="21">
        <v>640</v>
      </c>
      <c r="H708" s="25">
        <f t="shared" si="17"/>
        <v>0</v>
      </c>
    </row>
    <row r="709" spans="2:8" x14ac:dyDescent="0.25">
      <c r="F709" s="5">
        <f>SUM(F703:F708)</f>
        <v>3050</v>
      </c>
      <c r="G709" s="5">
        <f>SUM(G703:G708)</f>
        <v>2839.46</v>
      </c>
      <c r="H709" s="5">
        <f>SUM(H703:H708)</f>
        <v>210.54000000000002</v>
      </c>
    </row>
    <row r="710" spans="2:8" x14ac:dyDescent="0.25">
      <c r="B710" s="4" t="s">
        <v>122</v>
      </c>
      <c r="C710" s="4" t="s">
        <v>1022</v>
      </c>
      <c r="D710" s="4" t="s">
        <v>443</v>
      </c>
      <c r="E710" s="4" t="s">
        <v>881</v>
      </c>
      <c r="F710" s="5">
        <v>25000</v>
      </c>
      <c r="G710" s="20">
        <f>2250+22500</f>
        <v>24750</v>
      </c>
      <c r="H710" s="34">
        <f>IFERROR(F710-G710, " ")</f>
        <v>250</v>
      </c>
    </row>
    <row r="711" spans="2:8" x14ac:dyDescent="0.25">
      <c r="E711" s="4" t="s">
        <v>454</v>
      </c>
      <c r="F711" s="5">
        <v>522</v>
      </c>
      <c r="H711" s="34">
        <f>IFERROR(F711-G711, " ")</f>
        <v>522</v>
      </c>
    </row>
    <row r="712" spans="2:8" x14ac:dyDescent="0.25">
      <c r="E712" s="4" t="s">
        <v>656</v>
      </c>
      <c r="F712" s="5">
        <v>600</v>
      </c>
      <c r="H712" s="34">
        <f>IFERROR(F712-G712, " ")</f>
        <v>600</v>
      </c>
    </row>
    <row r="713" spans="2:8" x14ac:dyDescent="0.25">
      <c r="E713" s="4" t="s">
        <v>146</v>
      </c>
      <c r="F713" s="5">
        <v>150</v>
      </c>
      <c r="G713" s="20">
        <v>35.25</v>
      </c>
      <c r="H713" s="34">
        <f>IFERROR(F713-G713, " ")</f>
        <v>114.75</v>
      </c>
    </row>
    <row r="714" spans="2:8" ht="15" thickBot="1" x14ac:dyDescent="0.3">
      <c r="E714" s="4" t="s">
        <v>134</v>
      </c>
      <c r="F714" s="6">
        <v>30</v>
      </c>
      <c r="G714" s="21"/>
      <c r="H714" s="25">
        <f>IFERROR(F714-G714, " ")</f>
        <v>30</v>
      </c>
    </row>
    <row r="715" spans="2:8" x14ac:dyDescent="0.25">
      <c r="F715" s="5">
        <f>SUM(F710:F714)</f>
        <v>26302</v>
      </c>
      <c r="G715" s="5">
        <f>SUM(G710:G714)</f>
        <v>24785.25</v>
      </c>
      <c r="H715" s="5">
        <f>SUM(H710:H714)</f>
        <v>1516.75</v>
      </c>
    </row>
    <row r="716" spans="2:8" x14ac:dyDescent="0.25">
      <c r="B716" s="4" t="s">
        <v>7</v>
      </c>
      <c r="C716" s="4" t="s">
        <v>1023</v>
      </c>
      <c r="D716" s="4" t="s">
        <v>443</v>
      </c>
      <c r="E716" s="4" t="s">
        <v>656</v>
      </c>
      <c r="F716" s="5">
        <v>3293</v>
      </c>
      <c r="H716" s="34">
        <f>IFERROR(F716-G716, " ")</f>
        <v>3293</v>
      </c>
    </row>
    <row r="717" spans="2:8" ht="15" thickBot="1" x14ac:dyDescent="0.3">
      <c r="E717" s="4" t="s">
        <v>1024</v>
      </c>
      <c r="F717" s="6">
        <v>900</v>
      </c>
      <c r="G717" s="21">
        <f>29.88+26.35+131.95+309.64+139.4</f>
        <v>637.22</v>
      </c>
      <c r="H717" s="25">
        <f>IFERROR(F717-G717, " ")</f>
        <v>262.77999999999997</v>
      </c>
    </row>
    <row r="718" spans="2:8" x14ac:dyDescent="0.25">
      <c r="F718" s="5">
        <f>SUM(F716:F717)</f>
        <v>4193</v>
      </c>
      <c r="G718" s="5">
        <f>SUM(G716:G717)</f>
        <v>637.22</v>
      </c>
      <c r="H718" s="5">
        <f>SUM(H716:H717)</f>
        <v>3555.7799999999997</v>
      </c>
    </row>
    <row r="719" spans="2:8" ht="15" thickBot="1" x14ac:dyDescent="0.3">
      <c r="B719" s="4" t="s">
        <v>187</v>
      </c>
      <c r="C719" s="4" t="s">
        <v>1025</v>
      </c>
      <c r="D719" s="4" t="s">
        <v>443</v>
      </c>
      <c r="E719" s="4" t="s">
        <v>1026</v>
      </c>
      <c r="F719" s="6">
        <f>3000+250+170+100</f>
        <v>3520</v>
      </c>
      <c r="G719" s="21">
        <v>3520</v>
      </c>
      <c r="H719" s="25">
        <f>IFERROR(F719-G719, " ")</f>
        <v>0</v>
      </c>
    </row>
    <row r="720" spans="2:8" x14ac:dyDescent="0.25">
      <c r="F720" s="5">
        <f>SUM(F719)</f>
        <v>3520</v>
      </c>
      <c r="G720" s="5">
        <f>SUM(G719)</f>
        <v>3520</v>
      </c>
      <c r="H720" s="5">
        <f>SUM(H719)</f>
        <v>0</v>
      </c>
    </row>
    <row r="721" spans="1:8" x14ac:dyDescent="0.25">
      <c r="B721" s="4" t="s">
        <v>730</v>
      </c>
      <c r="C721" s="4" t="s">
        <v>1029</v>
      </c>
      <c r="D721" s="4" t="s">
        <v>443</v>
      </c>
      <c r="E721" s="4" t="s">
        <v>1027</v>
      </c>
      <c r="F721" s="5">
        <v>4000</v>
      </c>
      <c r="G721" s="20">
        <v>4000</v>
      </c>
      <c r="H721" s="34">
        <f>IFERROR(F721-G721, " ")</f>
        <v>0</v>
      </c>
    </row>
    <row r="722" spans="1:8" x14ac:dyDescent="0.25">
      <c r="E722" s="4" t="s">
        <v>720</v>
      </c>
      <c r="F722" s="5">
        <v>200</v>
      </c>
      <c r="H722" s="34">
        <f>IFERROR(F722-G722, " ")</f>
        <v>200</v>
      </c>
    </row>
    <row r="723" spans="1:8" ht="15" thickBot="1" x14ac:dyDescent="0.3">
      <c r="E723" s="4" t="s">
        <v>1028</v>
      </c>
      <c r="F723" s="6">
        <v>150</v>
      </c>
      <c r="G723" s="21">
        <f>38.35+91.42</f>
        <v>129.77000000000001</v>
      </c>
      <c r="H723" s="25">
        <f>IFERROR(F723-G723, " ")</f>
        <v>20.22999999999999</v>
      </c>
    </row>
    <row r="724" spans="1:8" x14ac:dyDescent="0.25">
      <c r="F724" s="5">
        <f>SUM(F721:F723)</f>
        <v>4350</v>
      </c>
      <c r="G724" s="5">
        <f>SUM(G721:G723)</f>
        <v>4129.7700000000004</v>
      </c>
      <c r="H724" s="5">
        <f>SUM(H721:H723)</f>
        <v>220.23</v>
      </c>
    </row>
    <row r="725" spans="1:8" x14ac:dyDescent="0.25">
      <c r="B725" s="4" t="s">
        <v>88</v>
      </c>
      <c r="C725" s="4" t="s">
        <v>1030</v>
      </c>
      <c r="D725" s="4" t="s">
        <v>443</v>
      </c>
      <c r="E725" s="4" t="s">
        <v>1031</v>
      </c>
      <c r="F725" s="5">
        <v>2200</v>
      </c>
      <c r="G725" s="20">
        <f>2200</f>
        <v>2200</v>
      </c>
      <c r="H725" s="34">
        <f>IFERROR(F725-G725, " ")</f>
        <v>0</v>
      </c>
    </row>
    <row r="726" spans="1:8" x14ac:dyDescent="0.25">
      <c r="E726" s="4" t="s">
        <v>93</v>
      </c>
      <c r="F726" s="5">
        <v>150</v>
      </c>
      <c r="H726" s="34">
        <f>IFERROR(F726-G726, " ")</f>
        <v>150</v>
      </c>
    </row>
    <row r="727" spans="1:8" x14ac:dyDescent="0.25">
      <c r="E727" s="4" t="s">
        <v>1032</v>
      </c>
      <c r="F727" s="5">
        <v>459.45</v>
      </c>
      <c r="G727" s="20">
        <f>433.68</f>
        <v>433.68</v>
      </c>
      <c r="H727" s="34">
        <f>IFERROR(F727-G727, " ")</f>
        <v>25.769999999999982</v>
      </c>
    </row>
    <row r="728" spans="1:8" ht="15" thickBot="1" x14ac:dyDescent="0.3">
      <c r="E728" s="4" t="s">
        <v>1033</v>
      </c>
      <c r="F728" s="6">
        <v>109.61</v>
      </c>
      <c r="G728" s="21"/>
      <c r="H728" s="25">
        <f>IFERROR(F728-G728, " ")</f>
        <v>109.61</v>
      </c>
    </row>
    <row r="729" spans="1:8" x14ac:dyDescent="0.25">
      <c r="F729" s="5">
        <f>SUM(F725:F728)</f>
        <v>2919.06</v>
      </c>
      <c r="G729" s="5">
        <f>SUM(G725:G728)</f>
        <v>2633.68</v>
      </c>
      <c r="H729" s="5">
        <f>SUM(H725:H728)</f>
        <v>285.38</v>
      </c>
    </row>
    <row r="730" spans="1:8" ht="15" thickBot="1" x14ac:dyDescent="0.3">
      <c r="A730" s="23">
        <v>42438</v>
      </c>
      <c r="B730" s="4" t="s">
        <v>826</v>
      </c>
      <c r="C730" s="4" t="s">
        <v>1035</v>
      </c>
      <c r="D730" s="4" t="s">
        <v>443</v>
      </c>
      <c r="E730" s="4" t="s">
        <v>387</v>
      </c>
      <c r="F730" s="6">
        <v>143.79</v>
      </c>
      <c r="G730" s="21">
        <v>139</v>
      </c>
      <c r="H730" s="25">
        <f>IFERROR(F730-G730, " ")</f>
        <v>4.789999999999992</v>
      </c>
    </row>
    <row r="731" spans="1:8" x14ac:dyDescent="0.25">
      <c r="F731" s="5">
        <f>SUM(F730)</f>
        <v>143.79</v>
      </c>
      <c r="G731" s="5">
        <f>SUM(G730)</f>
        <v>139</v>
      </c>
      <c r="H731" s="5">
        <f>SUM(H730)</f>
        <v>4.789999999999992</v>
      </c>
    </row>
    <row r="732" spans="1:8" ht="15" thickBot="1" x14ac:dyDescent="0.3">
      <c r="B732" s="4" t="s">
        <v>555</v>
      </c>
      <c r="C732" s="4" t="s">
        <v>1036</v>
      </c>
      <c r="D732" s="4" t="s">
        <v>443</v>
      </c>
      <c r="E732" s="4" t="s">
        <v>1037</v>
      </c>
      <c r="F732" s="6">
        <v>160</v>
      </c>
      <c r="G732" s="21">
        <f>129.9</f>
        <v>129.9</v>
      </c>
      <c r="H732" s="25">
        <f>IFERROR(F732-G732, " ")</f>
        <v>30.099999999999994</v>
      </c>
    </row>
    <row r="733" spans="1:8" x14ac:dyDescent="0.25">
      <c r="F733" s="5">
        <f>SUM(F732)</f>
        <v>160</v>
      </c>
      <c r="G733" s="5">
        <f>SUM(G732)</f>
        <v>129.9</v>
      </c>
      <c r="H733" s="5">
        <f>SUM(H732)</f>
        <v>30.099999999999994</v>
      </c>
    </row>
    <row r="734" spans="1:8" x14ac:dyDescent="0.25">
      <c r="B734" s="4" t="s">
        <v>555</v>
      </c>
      <c r="C734" s="4" t="s">
        <v>1038</v>
      </c>
      <c r="D734" s="4" t="s">
        <v>443</v>
      </c>
      <c r="E734" s="4" t="s">
        <v>558</v>
      </c>
      <c r="F734" s="5">
        <v>750</v>
      </c>
      <c r="G734" s="20">
        <v>750</v>
      </c>
      <c r="H734" s="34">
        <f>IFERROR(F734-G734, " ")</f>
        <v>0</v>
      </c>
    </row>
    <row r="735" spans="1:8" x14ac:dyDescent="0.25">
      <c r="E735" s="4" t="s">
        <v>752</v>
      </c>
      <c r="F735" s="5">
        <v>41</v>
      </c>
      <c r="G735" s="20">
        <f>101.11-80</f>
        <v>21.11</v>
      </c>
      <c r="H735" s="34">
        <f>IFERROR(F735-G735, " ")</f>
        <v>19.89</v>
      </c>
    </row>
    <row r="736" spans="1:8" x14ac:dyDescent="0.25">
      <c r="E736" s="4" t="s">
        <v>191</v>
      </c>
      <c r="F736" s="5">
        <f>692-450</f>
        <v>242</v>
      </c>
      <c r="G736" s="20">
        <f>163.11+180-101.11</f>
        <v>242</v>
      </c>
      <c r="H736" s="34">
        <f>IFERROR(F736-G736, " ")</f>
        <v>0</v>
      </c>
    </row>
    <row r="737" spans="2:8" x14ac:dyDescent="0.25">
      <c r="E737" s="4" t="s">
        <v>1039</v>
      </c>
      <c r="F737" s="5">
        <v>80</v>
      </c>
      <c r="G737" s="20">
        <v>80</v>
      </c>
      <c r="H737" s="34">
        <f>IFERROR(F737-G737, " ")</f>
        <v>0</v>
      </c>
    </row>
    <row r="738" spans="2:8" ht="15" thickBot="1" x14ac:dyDescent="0.3">
      <c r="E738" s="4" t="s">
        <v>146</v>
      </c>
      <c r="F738" s="6">
        <v>50</v>
      </c>
      <c r="G738" s="21">
        <f>20.91</f>
        <v>20.91</v>
      </c>
      <c r="H738" s="25">
        <f>IFERROR(F738-G738, " ")</f>
        <v>29.09</v>
      </c>
    </row>
    <row r="739" spans="2:8" x14ac:dyDescent="0.25">
      <c r="F739" s="5">
        <f>SUM(F734:F738)</f>
        <v>1163</v>
      </c>
      <c r="G739" s="5">
        <f>SUM(G734:G738)</f>
        <v>1114.0200000000002</v>
      </c>
      <c r="H739" s="5">
        <f>SUM(H734:H738)</f>
        <v>48.980000000000004</v>
      </c>
    </row>
    <row r="740" spans="2:8" ht="15" thickBot="1" x14ac:dyDescent="0.3">
      <c r="B740" s="4" t="s">
        <v>555</v>
      </c>
      <c r="C740" s="4" t="s">
        <v>1040</v>
      </c>
      <c r="D740" s="4" t="s">
        <v>443</v>
      </c>
      <c r="E740" s="4" t="s">
        <v>1041</v>
      </c>
      <c r="F740" s="6">
        <v>75</v>
      </c>
      <c r="G740" s="21">
        <f>38.84</f>
        <v>38.840000000000003</v>
      </c>
      <c r="H740" s="25">
        <f>IFERROR(F740-G740, " ")</f>
        <v>36.159999999999997</v>
      </c>
    </row>
    <row r="741" spans="2:8" x14ac:dyDescent="0.25">
      <c r="F741" s="5">
        <f>SUM(F740)</f>
        <v>75</v>
      </c>
      <c r="G741" s="5">
        <f>SUM(G740)</f>
        <v>38.840000000000003</v>
      </c>
      <c r="H741" s="5">
        <f>SUM(H740)</f>
        <v>36.159999999999997</v>
      </c>
    </row>
    <row r="742" spans="2:8" ht="15" thickBot="1" x14ac:dyDescent="0.3">
      <c r="B742" s="4" t="s">
        <v>735</v>
      </c>
      <c r="C742" s="4" t="s">
        <v>1021</v>
      </c>
      <c r="D742" s="4" t="s">
        <v>443</v>
      </c>
      <c r="E742" s="4" t="s">
        <v>608</v>
      </c>
      <c r="F742" s="6">
        <v>100</v>
      </c>
      <c r="G742" s="6"/>
      <c r="H742" s="6">
        <v>100</v>
      </c>
    </row>
    <row r="743" spans="2:8" x14ac:dyDescent="0.25">
      <c r="F743" s="5">
        <f>SUM(F742)</f>
        <v>100</v>
      </c>
      <c r="G743" s="5">
        <f>SUM(G742)</f>
        <v>0</v>
      </c>
      <c r="H743" s="5">
        <f>SUM(H742)</f>
        <v>100</v>
      </c>
    </row>
    <row r="744" spans="2:8" x14ac:dyDescent="0.25">
      <c r="B744" s="4" t="s">
        <v>413</v>
      </c>
      <c r="C744" s="4" t="s">
        <v>1042</v>
      </c>
      <c r="D744" s="4" t="s">
        <v>443</v>
      </c>
      <c r="E744" s="4" t="s">
        <v>656</v>
      </c>
      <c r="F744" s="5">
        <v>1689</v>
      </c>
      <c r="H744" s="34">
        <f>IFERROR(F744-G744, " ")</f>
        <v>1689</v>
      </c>
    </row>
    <row r="745" spans="2:8" x14ac:dyDescent="0.25">
      <c r="E745" s="4" t="s">
        <v>33</v>
      </c>
      <c r="F745" s="5">
        <v>1600</v>
      </c>
      <c r="G745" s="20">
        <f>84.91+125.83+300.56+202.4+161.5+175.12+295.89+190.78+84.07</f>
        <v>1621.06</v>
      </c>
      <c r="H745" s="34">
        <f>IFERROR(F745-G745, " ")</f>
        <v>-21.059999999999945</v>
      </c>
    </row>
    <row r="746" spans="2:8" x14ac:dyDescent="0.25">
      <c r="E746" s="4" t="s">
        <v>1043</v>
      </c>
      <c r="F746" s="5">
        <v>10</v>
      </c>
      <c r="H746" s="34">
        <f>IFERROR(F746-G746, " ")</f>
        <v>10</v>
      </c>
    </row>
    <row r="747" spans="2:8" ht="15" thickBot="1" x14ac:dyDescent="0.3">
      <c r="E747" s="4" t="s">
        <v>1044</v>
      </c>
      <c r="F747" s="6">
        <v>70</v>
      </c>
      <c r="G747" s="21"/>
      <c r="H747" s="25">
        <f>IFERROR(F747-G747, " ")</f>
        <v>70</v>
      </c>
    </row>
    <row r="748" spans="2:8" x14ac:dyDescent="0.25">
      <c r="F748" s="5">
        <f>SUM(F744:F747)</f>
        <v>3369</v>
      </c>
      <c r="G748" s="5">
        <f>SUM(G744:G747)</f>
        <v>1621.06</v>
      </c>
      <c r="H748" s="5">
        <f>SUM(H744:H747)</f>
        <v>1747.94</v>
      </c>
    </row>
    <row r="749" spans="2:8" x14ac:dyDescent="0.25">
      <c r="B749" s="4" t="s">
        <v>1045</v>
      </c>
      <c r="C749" s="4" t="s">
        <v>1046</v>
      </c>
      <c r="D749" s="4" t="s">
        <v>443</v>
      </c>
      <c r="E749" s="4" t="s">
        <v>1047</v>
      </c>
      <c r="F749" s="5">
        <v>100</v>
      </c>
      <c r="H749" s="34">
        <f>IFERROR(F749-G749, " ")</f>
        <v>100</v>
      </c>
    </row>
    <row r="750" spans="2:8" ht="15" thickBot="1" x14ac:dyDescent="0.3">
      <c r="E750" s="4" t="s">
        <v>1048</v>
      </c>
      <c r="F750" s="6">
        <v>300</v>
      </c>
      <c r="G750" s="21">
        <v>300</v>
      </c>
      <c r="H750" s="25">
        <f>IFERROR(F750-G750, " ")</f>
        <v>0</v>
      </c>
    </row>
    <row r="751" spans="2:8" x14ac:dyDescent="0.25">
      <c r="F751" s="5">
        <f>SUM(F749:F750)</f>
        <v>400</v>
      </c>
      <c r="G751" s="5">
        <f>SUM(G749:G750)</f>
        <v>300</v>
      </c>
      <c r="H751" s="5">
        <f>SUM(H749:H750)</f>
        <v>100</v>
      </c>
    </row>
    <row r="752" spans="2:8" x14ac:dyDescent="0.25">
      <c r="B752" s="4" t="s">
        <v>1049</v>
      </c>
      <c r="C752" s="4" t="s">
        <v>1050</v>
      </c>
      <c r="D752" s="4" t="s">
        <v>443</v>
      </c>
      <c r="E752" s="4" t="s">
        <v>924</v>
      </c>
      <c r="F752" s="5">
        <v>3500</v>
      </c>
      <c r="G752" s="20">
        <v>3000</v>
      </c>
      <c r="H752" s="34">
        <f>IFERROR(F752-G752, " ")</f>
        <v>500</v>
      </c>
    </row>
    <row r="753" spans="1:8" x14ac:dyDescent="0.25">
      <c r="E753" s="4" t="s">
        <v>947</v>
      </c>
      <c r="F753" s="5">
        <v>72</v>
      </c>
      <c r="H753" s="34">
        <f>IFERROR(F753-G753, " ")</f>
        <v>72</v>
      </c>
    </row>
    <row r="754" spans="1:8" ht="15" thickBot="1" x14ac:dyDescent="0.3">
      <c r="E754" s="4" t="s">
        <v>720</v>
      </c>
      <c r="F754" s="6">
        <v>460</v>
      </c>
      <c r="G754" s="21"/>
      <c r="H754" s="25">
        <f>IFERROR(F754-G754, " ")</f>
        <v>460</v>
      </c>
    </row>
    <row r="755" spans="1:8" x14ac:dyDescent="0.25">
      <c r="F755" s="5">
        <f>SUM(F752:F754)</f>
        <v>4032</v>
      </c>
      <c r="G755" s="5">
        <f>SUM(G752:G754)</f>
        <v>3000</v>
      </c>
      <c r="H755" s="5">
        <f>SUM(H752:H754)</f>
        <v>1032</v>
      </c>
    </row>
    <row r="756" spans="1:8" x14ac:dyDescent="0.25">
      <c r="B756" s="4" t="s">
        <v>354</v>
      </c>
      <c r="C756" s="4" t="s">
        <v>703</v>
      </c>
      <c r="D756" s="4" t="s">
        <v>443</v>
      </c>
      <c r="E756" s="4" t="s">
        <v>1051</v>
      </c>
      <c r="F756" s="5">
        <v>7800</v>
      </c>
      <c r="G756" s="20">
        <v>7800</v>
      </c>
      <c r="H756" s="34">
        <f>IFERROR(F756-G756, " ")</f>
        <v>0</v>
      </c>
    </row>
    <row r="757" spans="1:8" x14ac:dyDescent="0.25">
      <c r="E757" s="4" t="s">
        <v>1052</v>
      </c>
      <c r="F757" s="5">
        <v>700</v>
      </c>
      <c r="G757" s="20">
        <f>700</f>
        <v>700</v>
      </c>
      <c r="H757" s="34">
        <f>IFERROR(F757-G757, " ")</f>
        <v>0</v>
      </c>
    </row>
    <row r="758" spans="1:8" ht="15" thickBot="1" x14ac:dyDescent="0.3">
      <c r="E758" s="4" t="s">
        <v>1053</v>
      </c>
      <c r="F758" s="6">
        <v>550</v>
      </c>
      <c r="G758" s="21">
        <f>135.93+350</f>
        <v>485.93</v>
      </c>
      <c r="H758" s="25">
        <f>IFERROR(F758-G758, " ")</f>
        <v>64.069999999999993</v>
      </c>
    </row>
    <row r="759" spans="1:8" x14ac:dyDescent="0.25">
      <c r="F759" s="5">
        <f>SUM(F756:F758)</f>
        <v>9050</v>
      </c>
      <c r="G759" s="5">
        <f>SUM(G756:G758)</f>
        <v>8985.93</v>
      </c>
      <c r="H759" s="5">
        <f>SUM(H756:H758)</f>
        <v>64.069999999999993</v>
      </c>
    </row>
    <row r="760" spans="1:8" x14ac:dyDescent="0.25">
      <c r="A760" s="23">
        <v>42452</v>
      </c>
      <c r="B760" s="4" t="s">
        <v>792</v>
      </c>
      <c r="C760" s="4" t="s">
        <v>1054</v>
      </c>
      <c r="D760" s="4" t="s">
        <v>443</v>
      </c>
      <c r="E760" s="4" t="s">
        <v>191</v>
      </c>
      <c r="F760" s="5">
        <f>40+82.32+95+60</f>
        <v>277.32</v>
      </c>
      <c r="H760" s="34">
        <f>IFERROR(F760-G760, " ")</f>
        <v>277.32</v>
      </c>
    </row>
    <row r="761" spans="1:8" ht="15" thickBot="1" x14ac:dyDescent="0.3">
      <c r="E761" s="4" t="s">
        <v>1055</v>
      </c>
      <c r="F761" s="6">
        <v>40</v>
      </c>
      <c r="G761" s="21"/>
      <c r="H761" s="25">
        <f>IFERROR(F761-G761, " ")</f>
        <v>40</v>
      </c>
    </row>
    <row r="762" spans="1:8" x14ac:dyDescent="0.25">
      <c r="F762" s="5">
        <f>SUM(F760:F761)</f>
        <v>317.32</v>
      </c>
      <c r="G762" s="5">
        <f>SUM(G760:G761)</f>
        <v>0</v>
      </c>
      <c r="H762" s="5">
        <f>SUM(H760:H761)</f>
        <v>317.32</v>
      </c>
    </row>
    <row r="763" spans="1:8" x14ac:dyDescent="0.25">
      <c r="B763" s="4" t="s">
        <v>122</v>
      </c>
      <c r="C763" s="4" t="s">
        <v>1058</v>
      </c>
      <c r="D763" s="4" t="s">
        <v>443</v>
      </c>
      <c r="E763" s="4" t="s">
        <v>1059</v>
      </c>
      <c r="F763" s="5">
        <v>14730</v>
      </c>
      <c r="G763" s="20">
        <f>13846.2</f>
        <v>13846.2</v>
      </c>
      <c r="H763" s="34">
        <f t="shared" ref="H763:H772" si="18">IFERROR(F763-G763, " ")</f>
        <v>883.79999999999927</v>
      </c>
    </row>
    <row r="764" spans="1:8" x14ac:dyDescent="0.25">
      <c r="E764" s="4" t="s">
        <v>478</v>
      </c>
      <c r="F764" s="5">
        <v>550</v>
      </c>
      <c r="H764" s="34">
        <f t="shared" si="18"/>
        <v>550</v>
      </c>
    </row>
    <row r="765" spans="1:8" x14ac:dyDescent="0.25">
      <c r="E765" s="4" t="s">
        <v>671</v>
      </c>
      <c r="F765" s="5">
        <v>256</v>
      </c>
      <c r="H765" s="34">
        <f t="shared" si="18"/>
        <v>256</v>
      </c>
    </row>
    <row r="766" spans="1:8" x14ac:dyDescent="0.25">
      <c r="E766" s="4" t="s">
        <v>251</v>
      </c>
      <c r="F766" s="5">
        <v>250</v>
      </c>
      <c r="G766" s="20">
        <f>45.55</f>
        <v>45.55</v>
      </c>
      <c r="H766" s="34">
        <f t="shared" si="18"/>
        <v>204.45</v>
      </c>
    </row>
    <row r="767" spans="1:8" x14ac:dyDescent="0.25">
      <c r="E767" s="4" t="s">
        <v>188</v>
      </c>
      <c r="F767" s="5">
        <v>215</v>
      </c>
      <c r="H767" s="34">
        <f t="shared" si="18"/>
        <v>215</v>
      </c>
    </row>
    <row r="768" spans="1:8" x14ac:dyDescent="0.25">
      <c r="E768" s="4" t="s">
        <v>1060</v>
      </c>
      <c r="F768" s="5">
        <v>185</v>
      </c>
      <c r="H768" s="34">
        <f t="shared" si="18"/>
        <v>185</v>
      </c>
    </row>
    <row r="769" spans="2:8" x14ac:dyDescent="0.25">
      <c r="E769" s="4" t="s">
        <v>1061</v>
      </c>
      <c r="F769" s="5">
        <v>100</v>
      </c>
      <c r="H769" s="34">
        <f t="shared" si="18"/>
        <v>100</v>
      </c>
    </row>
    <row r="770" spans="2:8" x14ac:dyDescent="0.25">
      <c r="E770" s="4" t="s">
        <v>1062</v>
      </c>
      <c r="F770" s="5">
        <v>100</v>
      </c>
      <c r="H770" s="34">
        <f t="shared" si="18"/>
        <v>100</v>
      </c>
    </row>
    <row r="771" spans="2:8" x14ac:dyDescent="0.25">
      <c r="E771" s="4" t="s">
        <v>674</v>
      </c>
      <c r="F771" s="5">
        <v>80</v>
      </c>
      <c r="H771" s="34">
        <f t="shared" si="18"/>
        <v>80</v>
      </c>
    </row>
    <row r="772" spans="2:8" ht="15" thickBot="1" x14ac:dyDescent="0.3">
      <c r="E772" s="4" t="s">
        <v>551</v>
      </c>
      <c r="F772" s="6">
        <v>70</v>
      </c>
      <c r="G772" s="21"/>
      <c r="H772" s="25">
        <f t="shared" si="18"/>
        <v>70</v>
      </c>
    </row>
    <row r="773" spans="2:8" x14ac:dyDescent="0.25">
      <c r="F773" s="5">
        <f>SUM(F763:F772)</f>
        <v>16536</v>
      </c>
      <c r="G773" s="5">
        <f>SUM(G763:G772)</f>
        <v>13891.75</v>
      </c>
      <c r="H773" s="5">
        <f>SUM(H763:H772)</f>
        <v>2644.2499999999991</v>
      </c>
    </row>
    <row r="774" spans="2:8" x14ac:dyDescent="0.25">
      <c r="B774" s="4" t="s">
        <v>1063</v>
      </c>
      <c r="C774" s="4" t="s">
        <v>1023</v>
      </c>
      <c r="D774" s="4" t="s">
        <v>443</v>
      </c>
      <c r="E774" s="4" t="s">
        <v>1064</v>
      </c>
      <c r="F774" s="5">
        <v>256</v>
      </c>
      <c r="G774" s="20">
        <v>256</v>
      </c>
      <c r="H774" s="34">
        <f>IFERROR(F774-G774, " ")</f>
        <v>0</v>
      </c>
    </row>
    <row r="775" spans="2:8" ht="15" thickBot="1" x14ac:dyDescent="0.3">
      <c r="E775" s="4" t="s">
        <v>1065</v>
      </c>
      <c r="F775" s="6">
        <v>150</v>
      </c>
      <c r="G775" s="21">
        <f>342.38-256</f>
        <v>86.38</v>
      </c>
      <c r="H775" s="25">
        <f>IFERROR(F775-G775, " ")</f>
        <v>63.620000000000005</v>
      </c>
    </row>
    <row r="776" spans="2:8" x14ac:dyDescent="0.25">
      <c r="F776" s="5">
        <f>SUM(F774:F775)</f>
        <v>406</v>
      </c>
      <c r="G776" s="5">
        <f>SUM(G774:G775)</f>
        <v>342.38</v>
      </c>
      <c r="H776" s="5">
        <f>SUM(H774:H775)</f>
        <v>63.620000000000005</v>
      </c>
    </row>
    <row r="777" spans="2:8" x14ac:dyDescent="0.25">
      <c r="B777" s="4" t="s">
        <v>83</v>
      </c>
      <c r="C777" s="4" t="s">
        <v>1066</v>
      </c>
      <c r="D777" s="4" t="s">
        <v>443</v>
      </c>
      <c r="E777" s="4" t="s">
        <v>1067</v>
      </c>
      <c r="F777" s="5">
        <v>1500</v>
      </c>
      <c r="G777" s="20">
        <v>1500</v>
      </c>
      <c r="H777" s="34">
        <f t="shared" ref="H777:H786" si="19">IFERROR(F777-G777, " ")</f>
        <v>0</v>
      </c>
    </row>
    <row r="778" spans="2:8" x14ac:dyDescent="0.25">
      <c r="E778" s="4" t="s">
        <v>500</v>
      </c>
      <c r="F778" s="5">
        <v>1309.8599999999999</v>
      </c>
      <c r="G778" s="20">
        <v>1309.8599999999999</v>
      </c>
      <c r="H778" s="34">
        <f t="shared" si="19"/>
        <v>0</v>
      </c>
    </row>
    <row r="779" spans="2:8" x14ac:dyDescent="0.25">
      <c r="E779" s="4" t="s">
        <v>1068</v>
      </c>
      <c r="F779" s="5">
        <v>975.8</v>
      </c>
      <c r="G779" s="20">
        <f>975.8</f>
        <v>975.8</v>
      </c>
      <c r="H779" s="34">
        <f t="shared" si="19"/>
        <v>0</v>
      </c>
    </row>
    <row r="780" spans="2:8" x14ac:dyDescent="0.25">
      <c r="E780" s="4" t="s">
        <v>188</v>
      </c>
      <c r="F780" s="5">
        <v>416.07</v>
      </c>
      <c r="G780" s="20">
        <v>161.55000000000001</v>
      </c>
      <c r="H780" s="34">
        <f t="shared" si="19"/>
        <v>254.51999999999998</v>
      </c>
    </row>
    <row r="781" spans="2:8" x14ac:dyDescent="0.25">
      <c r="E781" s="4" t="s">
        <v>1069</v>
      </c>
      <c r="F781" s="5">
        <v>500</v>
      </c>
      <c r="G781" s="20">
        <v>500</v>
      </c>
      <c r="H781" s="34">
        <f t="shared" si="19"/>
        <v>0</v>
      </c>
    </row>
    <row r="782" spans="2:8" x14ac:dyDescent="0.25">
      <c r="E782" s="4" t="s">
        <v>1070</v>
      </c>
      <c r="F782" s="5">
        <v>484</v>
      </c>
      <c r="G782" s="20">
        <v>484</v>
      </c>
      <c r="H782" s="34">
        <f t="shared" si="19"/>
        <v>0</v>
      </c>
    </row>
    <row r="783" spans="2:8" x14ac:dyDescent="0.25">
      <c r="E783" s="4" t="s">
        <v>1071</v>
      </c>
      <c r="F783" s="5">
        <v>350</v>
      </c>
      <c r="G783" s="20">
        <f>350</f>
        <v>350</v>
      </c>
      <c r="H783" s="34">
        <f t="shared" si="19"/>
        <v>0</v>
      </c>
    </row>
    <row r="784" spans="2:8" x14ac:dyDescent="0.25">
      <c r="E784" s="4" t="s">
        <v>1072</v>
      </c>
      <c r="F784" s="5">
        <v>300</v>
      </c>
      <c r="G784" s="20">
        <v>300</v>
      </c>
      <c r="H784" s="34">
        <f t="shared" si="19"/>
        <v>0</v>
      </c>
    </row>
    <row r="785" spans="2:8" x14ac:dyDescent="0.25">
      <c r="E785" s="4" t="s">
        <v>1073</v>
      </c>
      <c r="F785" s="5">
        <v>267.07</v>
      </c>
      <c r="G785" s="20">
        <v>267.07</v>
      </c>
      <c r="H785" s="34">
        <f t="shared" si="19"/>
        <v>0</v>
      </c>
    </row>
    <row r="786" spans="2:8" ht="15" thickBot="1" x14ac:dyDescent="0.3">
      <c r="E786" s="4" t="s">
        <v>1074</v>
      </c>
      <c r="F786" s="6">
        <v>100</v>
      </c>
      <c r="G786" s="21"/>
      <c r="H786" s="25">
        <f t="shared" si="19"/>
        <v>100</v>
      </c>
    </row>
    <row r="787" spans="2:8" x14ac:dyDescent="0.25">
      <c r="F787" s="5">
        <f>SUM(F777:F786)</f>
        <v>6202.7999999999993</v>
      </c>
      <c r="G787" s="5">
        <f>SUM(G777:G786)</f>
        <v>5848.28</v>
      </c>
      <c r="H787" s="5">
        <f>SUM(H777:H786)</f>
        <v>354.52</v>
      </c>
    </row>
    <row r="788" spans="2:8" x14ac:dyDescent="0.25">
      <c r="B788" s="4" t="s">
        <v>284</v>
      </c>
      <c r="C788" s="4" t="s">
        <v>1075</v>
      </c>
      <c r="D788" s="4" t="s">
        <v>443</v>
      </c>
      <c r="E788" s="4" t="s">
        <v>1075</v>
      </c>
      <c r="F788" s="5">
        <v>2750</v>
      </c>
      <c r="G788" s="20">
        <v>2750</v>
      </c>
      <c r="H788" s="34">
        <f>IFERROR(F788-G788, " ")</f>
        <v>0</v>
      </c>
    </row>
    <row r="789" spans="2:8" ht="15" thickBot="1" x14ac:dyDescent="0.3">
      <c r="E789" s="4" t="s">
        <v>1076</v>
      </c>
      <c r="F789" s="6">
        <v>18.5</v>
      </c>
      <c r="G789" s="21"/>
      <c r="H789" s="25">
        <f>IFERROR(F789-G789, " ")</f>
        <v>18.5</v>
      </c>
    </row>
    <row r="790" spans="2:8" x14ac:dyDescent="0.25">
      <c r="F790" s="5">
        <f>SUM(F788:F789)</f>
        <v>2768.5</v>
      </c>
      <c r="G790" s="5">
        <f>SUM(G788:G789)</f>
        <v>2750</v>
      </c>
      <c r="H790" s="5">
        <f>SUM(H788:H789)</f>
        <v>18.5</v>
      </c>
    </row>
    <row r="791" spans="2:8" ht="15" thickBot="1" x14ac:dyDescent="0.3">
      <c r="B791" s="4" t="s">
        <v>1077</v>
      </c>
      <c r="C791" s="4" t="s">
        <v>400</v>
      </c>
      <c r="D791" s="4" t="s">
        <v>651</v>
      </c>
      <c r="E791" s="4" t="s">
        <v>186</v>
      </c>
      <c r="F791" s="6">
        <v>2596.12</v>
      </c>
      <c r="G791" s="21">
        <v>1180.06</v>
      </c>
      <c r="H791" s="25">
        <f>IFERROR(F791-G791, " ")</f>
        <v>1416.06</v>
      </c>
    </row>
    <row r="792" spans="2:8" x14ac:dyDescent="0.25">
      <c r="F792" s="5">
        <f>SUM(F791)</f>
        <v>2596.12</v>
      </c>
      <c r="G792" s="5">
        <f>SUM(G791)</f>
        <v>1180.06</v>
      </c>
      <c r="H792" s="5">
        <f>SUM(H791)</f>
        <v>1416.06</v>
      </c>
    </row>
    <row r="793" spans="2:8" x14ac:dyDescent="0.25">
      <c r="B793" s="4" t="s">
        <v>783</v>
      </c>
      <c r="C793" s="4" t="s">
        <v>1078</v>
      </c>
      <c r="D793" s="4" t="s">
        <v>651</v>
      </c>
      <c r="E793" s="4" t="s">
        <v>846</v>
      </c>
      <c r="F793" s="5">
        <v>812</v>
      </c>
      <c r="H793" s="34">
        <f t="shared" ref="H793:H802" si="20">IFERROR(F793-G793, " ")</f>
        <v>812</v>
      </c>
    </row>
    <row r="794" spans="2:8" x14ac:dyDescent="0.25">
      <c r="E794" s="4" t="s">
        <v>478</v>
      </c>
      <c r="F794" s="5">
        <v>512.4</v>
      </c>
      <c r="H794" s="34">
        <f t="shared" si="20"/>
        <v>512.4</v>
      </c>
    </row>
    <row r="795" spans="2:8" x14ac:dyDescent="0.25">
      <c r="E795" s="4" t="s">
        <v>1079</v>
      </c>
      <c r="F795" s="5">
        <v>350</v>
      </c>
      <c r="G795" s="20">
        <v>350</v>
      </c>
      <c r="H795" s="34">
        <f t="shared" si="20"/>
        <v>0</v>
      </c>
    </row>
    <row r="796" spans="2:8" x14ac:dyDescent="0.25">
      <c r="E796" s="4" t="s">
        <v>823</v>
      </c>
      <c r="F796" s="5">
        <v>1050</v>
      </c>
      <c r="G796" s="20">
        <v>1050</v>
      </c>
      <c r="H796" s="34">
        <f t="shared" si="20"/>
        <v>0</v>
      </c>
    </row>
    <row r="797" spans="2:8" x14ac:dyDescent="0.25">
      <c r="E797" s="4" t="s">
        <v>1080</v>
      </c>
      <c r="F797" s="5">
        <v>975</v>
      </c>
      <c r="G797" s="20">
        <v>975</v>
      </c>
      <c r="H797" s="34">
        <f t="shared" si="20"/>
        <v>0</v>
      </c>
    </row>
    <row r="798" spans="2:8" x14ac:dyDescent="0.25">
      <c r="E798" s="4" t="s">
        <v>1081</v>
      </c>
      <c r="F798" s="5">
        <v>895</v>
      </c>
      <c r="G798" s="20">
        <v>895</v>
      </c>
      <c r="H798" s="34">
        <f t="shared" si="20"/>
        <v>0</v>
      </c>
    </row>
    <row r="799" spans="2:8" x14ac:dyDescent="0.25">
      <c r="E799" s="4" t="s">
        <v>1082</v>
      </c>
      <c r="F799" s="5">
        <v>625</v>
      </c>
      <c r="G799" s="20">
        <v>625</v>
      </c>
      <c r="H799" s="34">
        <f t="shared" si="20"/>
        <v>0</v>
      </c>
    </row>
    <row r="800" spans="2:8" x14ac:dyDescent="0.25">
      <c r="E800" s="4" t="s">
        <v>1083</v>
      </c>
      <c r="F800" s="5">
        <v>625</v>
      </c>
      <c r="G800" s="20">
        <v>625</v>
      </c>
      <c r="H800" s="34">
        <f t="shared" si="20"/>
        <v>0</v>
      </c>
    </row>
    <row r="801" spans="1:8" x14ac:dyDescent="0.25">
      <c r="E801" s="4" t="s">
        <v>625</v>
      </c>
      <c r="F801" s="5">
        <v>125</v>
      </c>
      <c r="G801" s="20">
        <v>125</v>
      </c>
      <c r="H801" s="34">
        <f t="shared" si="20"/>
        <v>0</v>
      </c>
    </row>
    <row r="802" spans="1:8" ht="15" thickBot="1" x14ac:dyDescent="0.3">
      <c r="E802" s="4" t="s">
        <v>1084</v>
      </c>
      <c r="F802" s="6">
        <v>100</v>
      </c>
      <c r="G802" s="21">
        <v>100</v>
      </c>
      <c r="H802" s="25">
        <f t="shared" si="20"/>
        <v>0</v>
      </c>
    </row>
    <row r="803" spans="1:8" x14ac:dyDescent="0.25">
      <c r="F803" s="5">
        <f>SUM(F793:F802)</f>
        <v>6069.4</v>
      </c>
      <c r="G803" s="5">
        <f>SUM(G793:G802)</f>
        <v>4745</v>
      </c>
      <c r="H803" s="5">
        <f>SUM(H793:H802)</f>
        <v>1324.4</v>
      </c>
    </row>
    <row r="804" spans="1:8" ht="15" thickBot="1" x14ac:dyDescent="0.3">
      <c r="A804" s="23">
        <v>42459</v>
      </c>
      <c r="B804" s="4" t="s">
        <v>284</v>
      </c>
      <c r="C804" s="4" t="s">
        <v>1087</v>
      </c>
      <c r="D804" s="4" t="s">
        <v>443</v>
      </c>
      <c r="E804" s="4" t="s">
        <v>1088</v>
      </c>
      <c r="F804" s="6">
        <v>300</v>
      </c>
      <c r="G804" s="21">
        <f>300</f>
        <v>300</v>
      </c>
      <c r="H804" s="25">
        <f>IFERROR(F804-G804, " ")</f>
        <v>0</v>
      </c>
    </row>
    <row r="805" spans="1:8" x14ac:dyDescent="0.25">
      <c r="F805" s="5">
        <f>SUM(F804)</f>
        <v>300</v>
      </c>
      <c r="G805" s="5">
        <f>SUM(G804)</f>
        <v>300</v>
      </c>
      <c r="H805" s="5">
        <f>SUM(H804)</f>
        <v>0</v>
      </c>
    </row>
    <row r="806" spans="1:8" x14ac:dyDescent="0.25">
      <c r="B806" s="4" t="s">
        <v>284</v>
      </c>
      <c r="C806" s="4" t="s">
        <v>1089</v>
      </c>
      <c r="D806" s="4" t="s">
        <v>443</v>
      </c>
      <c r="E806" s="4" t="s">
        <v>191</v>
      </c>
      <c r="F806" s="5">
        <v>96</v>
      </c>
      <c r="H806" s="34">
        <f>IFERROR(F806-G806, " ")</f>
        <v>96</v>
      </c>
    </row>
    <row r="807" spans="1:8" x14ac:dyDescent="0.25">
      <c r="E807" s="4" t="s">
        <v>1043</v>
      </c>
      <c r="F807" s="5">
        <v>4.5</v>
      </c>
      <c r="H807" s="34">
        <f>IFERROR(F807-G807, " ")</f>
        <v>4.5</v>
      </c>
    </row>
    <row r="808" spans="1:8" ht="15" thickBot="1" x14ac:dyDescent="0.3">
      <c r="E808" s="4" t="s">
        <v>1090</v>
      </c>
      <c r="F808" s="6">
        <v>1.5</v>
      </c>
      <c r="G808" s="21"/>
      <c r="H808" s="25">
        <f>IFERROR(F808-G808, " ")</f>
        <v>1.5</v>
      </c>
    </row>
    <row r="809" spans="1:8" x14ac:dyDescent="0.25">
      <c r="F809" s="5">
        <f>SUM(F806:F808)</f>
        <v>102</v>
      </c>
      <c r="G809" s="5">
        <f>SUM(G806:G808)</f>
        <v>0</v>
      </c>
      <c r="H809" s="5">
        <f>SUM(H806:H808)</f>
        <v>102</v>
      </c>
    </row>
    <row r="810" spans="1:8" x14ac:dyDescent="0.25">
      <c r="B810" s="4" t="s">
        <v>420</v>
      </c>
      <c r="C810" s="4" t="s">
        <v>1091</v>
      </c>
      <c r="D810" s="4" t="s">
        <v>443</v>
      </c>
      <c r="E810" s="4" t="s">
        <v>1092</v>
      </c>
      <c r="F810" s="5">
        <v>2000</v>
      </c>
      <c r="G810" s="20">
        <v>2000</v>
      </c>
      <c r="H810" s="34">
        <f>IFERROR(F810-G810, " ")</f>
        <v>0</v>
      </c>
    </row>
    <row r="811" spans="1:8" x14ac:dyDescent="0.25">
      <c r="E811" s="4" t="s">
        <v>608</v>
      </c>
      <c r="F811" s="5">
        <v>300</v>
      </c>
      <c r="G811" s="20">
        <v>300</v>
      </c>
      <c r="H811" s="34">
        <f>IFERROR(F811-G811, " ")</f>
        <v>0</v>
      </c>
    </row>
    <row r="812" spans="1:8" x14ac:dyDescent="0.25">
      <c r="E812" s="4" t="s">
        <v>1093</v>
      </c>
      <c r="F812" s="5">
        <v>1380</v>
      </c>
      <c r="H812" s="34">
        <f>IFERROR(F812-G812, " ")</f>
        <v>1380</v>
      </c>
    </row>
    <row r="813" spans="1:8" x14ac:dyDescent="0.25">
      <c r="E813" s="4" t="s">
        <v>665</v>
      </c>
      <c r="F813" s="5">
        <v>445</v>
      </c>
      <c r="G813" s="20">
        <v>445</v>
      </c>
      <c r="H813" s="34">
        <f>IFERROR(F813-G813, " ")</f>
        <v>0</v>
      </c>
    </row>
    <row r="814" spans="1:8" ht="15" thickBot="1" x14ac:dyDescent="0.3">
      <c r="E814" s="4" t="s">
        <v>188</v>
      </c>
      <c r="F814" s="6">
        <v>364.42</v>
      </c>
      <c r="G814" s="21">
        <f>19.99+88.78+64.22+41.34+63.74</f>
        <v>278.07</v>
      </c>
      <c r="H814" s="25">
        <f>IFERROR(F814-G814, " ")</f>
        <v>86.350000000000023</v>
      </c>
    </row>
    <row r="815" spans="1:8" x14ac:dyDescent="0.25">
      <c r="F815" s="5">
        <f>SUM(F810:F814)</f>
        <v>4489.42</v>
      </c>
      <c r="G815" s="5">
        <f>SUM(G810:G814)</f>
        <v>3023.07</v>
      </c>
      <c r="H815" s="5">
        <f>SUM(H810:H814)</f>
        <v>1466.35</v>
      </c>
    </row>
    <row r="816" spans="1:8" ht="15" thickBot="1" x14ac:dyDescent="0.3">
      <c r="B816" s="4" t="s">
        <v>185</v>
      </c>
      <c r="C816" s="4" t="s">
        <v>1095</v>
      </c>
      <c r="D816" s="4" t="s">
        <v>443</v>
      </c>
      <c r="E816" s="4" t="s">
        <v>186</v>
      </c>
      <c r="F816" s="6">
        <v>1298.06</v>
      </c>
      <c r="G816" s="21">
        <f>1180.06</f>
        <v>1180.06</v>
      </c>
      <c r="H816" s="25">
        <f>IFERROR(F816-G816, " ")</f>
        <v>118</v>
      </c>
    </row>
    <row r="817" spans="1:8" x14ac:dyDescent="0.25">
      <c r="F817" s="5">
        <f>SUM(F816)</f>
        <v>1298.06</v>
      </c>
      <c r="G817" s="5">
        <f>SUM(G816)</f>
        <v>1180.06</v>
      </c>
      <c r="H817" s="5">
        <f>SUM(H816)</f>
        <v>118</v>
      </c>
    </row>
    <row r="818" spans="1:8" ht="15" thickBot="1" x14ac:dyDescent="0.3">
      <c r="B818" s="4" t="s">
        <v>1096</v>
      </c>
      <c r="C818" s="4" t="s">
        <v>1097</v>
      </c>
      <c r="D818" s="4" t="s">
        <v>443</v>
      </c>
      <c r="E818" s="4" t="s">
        <v>652</v>
      </c>
      <c r="F818" s="6">
        <v>3718</v>
      </c>
      <c r="G818" s="21">
        <f>2163.78</f>
        <v>2163.7800000000002</v>
      </c>
      <c r="H818" s="25">
        <f>IFERROR(F818-G818, " ")</f>
        <v>1554.2199999999998</v>
      </c>
    </row>
    <row r="819" spans="1:8" x14ac:dyDescent="0.25">
      <c r="F819" s="5">
        <f>SUM(F818)</f>
        <v>3718</v>
      </c>
      <c r="G819" s="5">
        <f>SUM(G818)</f>
        <v>2163.7800000000002</v>
      </c>
      <c r="H819" s="5">
        <f>SUM(H818)</f>
        <v>1554.2199999999998</v>
      </c>
    </row>
    <row r="820" spans="1:8" x14ac:dyDescent="0.25">
      <c r="B820" s="4" t="s">
        <v>110</v>
      </c>
      <c r="C820" s="4" t="s">
        <v>1098</v>
      </c>
      <c r="D820" s="4" t="s">
        <v>443</v>
      </c>
      <c r="E820" s="4" t="s">
        <v>1099</v>
      </c>
      <c r="F820" s="5">
        <v>1400</v>
      </c>
      <c r="G820" s="20">
        <v>1400</v>
      </c>
      <c r="H820" s="34">
        <f>IFERROR(F820-G820, " ")</f>
        <v>0</v>
      </c>
    </row>
    <row r="821" spans="1:8" ht="15" thickBot="1" x14ac:dyDescent="0.3">
      <c r="E821" s="4" t="s">
        <v>886</v>
      </c>
      <c r="F821" s="6">
        <v>60</v>
      </c>
      <c r="G821" s="21">
        <v>36.630000000000003</v>
      </c>
      <c r="H821" s="25">
        <f>IFERROR(F821-G821, " ")</f>
        <v>23.369999999999997</v>
      </c>
    </row>
    <row r="822" spans="1:8" x14ac:dyDescent="0.25">
      <c r="F822" s="5">
        <f>SUM(F820:F821)</f>
        <v>1460</v>
      </c>
      <c r="G822" s="5">
        <f>SUM(G820:G821)</f>
        <v>1436.63</v>
      </c>
      <c r="H822" s="5">
        <f>SUM(H820:H821)</f>
        <v>23.369999999999997</v>
      </c>
    </row>
    <row r="823" spans="1:8" x14ac:dyDescent="0.25">
      <c r="B823" s="4" t="s">
        <v>1100</v>
      </c>
      <c r="C823" s="4" t="s">
        <v>1101</v>
      </c>
      <c r="D823" s="4" t="s">
        <v>443</v>
      </c>
      <c r="E823" s="4" t="s">
        <v>608</v>
      </c>
      <c r="F823" s="5">
        <v>300</v>
      </c>
      <c r="G823" s="20">
        <v>300</v>
      </c>
      <c r="H823" s="34">
        <f>IFERROR(F823-G823, " ")</f>
        <v>0</v>
      </c>
    </row>
    <row r="824" spans="1:8" ht="15" thickBot="1" x14ac:dyDescent="0.3">
      <c r="E824" s="4" t="s">
        <v>191</v>
      </c>
      <c r="F824" s="6">
        <v>2080</v>
      </c>
      <c r="G824" s="21">
        <f>2080</f>
        <v>2080</v>
      </c>
      <c r="H824" s="25">
        <f>IFERROR(F824-G824, " ")</f>
        <v>0</v>
      </c>
    </row>
    <row r="825" spans="1:8" x14ac:dyDescent="0.25">
      <c r="F825" s="5">
        <f>SUM(F823:F824)</f>
        <v>2380</v>
      </c>
      <c r="G825" s="5">
        <f>SUM(G823:G824)</f>
        <v>2380</v>
      </c>
      <c r="H825" s="5">
        <f>SUM(H823:H824)</f>
        <v>0</v>
      </c>
    </row>
    <row r="826" spans="1:8" x14ac:dyDescent="0.25">
      <c r="B826" s="4" t="s">
        <v>1102</v>
      </c>
      <c r="C826" s="4" t="s">
        <v>1103</v>
      </c>
      <c r="D826" s="4" t="s">
        <v>443</v>
      </c>
      <c r="E826" s="4" t="s">
        <v>558</v>
      </c>
      <c r="F826" s="5">
        <v>2400</v>
      </c>
      <c r="G826" s="20">
        <v>2400</v>
      </c>
      <c r="H826" s="34">
        <f>IFERROR(F826-G826, " ")</f>
        <v>0</v>
      </c>
    </row>
    <row r="827" spans="1:8" x14ac:dyDescent="0.25">
      <c r="E827" s="4" t="s">
        <v>140</v>
      </c>
      <c r="F827" s="5">
        <v>50</v>
      </c>
      <c r="G827" s="20">
        <v>50</v>
      </c>
      <c r="H827" s="34">
        <f>IFERROR(F827-G827, " ")</f>
        <v>0</v>
      </c>
    </row>
    <row r="828" spans="1:8" x14ac:dyDescent="0.25">
      <c r="E828" s="4" t="s">
        <v>191</v>
      </c>
      <c r="F828" s="5">
        <v>100</v>
      </c>
      <c r="G828" s="20">
        <v>100</v>
      </c>
      <c r="H828" s="34">
        <f>IFERROR(F828-G828, " ")</f>
        <v>0</v>
      </c>
    </row>
    <row r="829" spans="1:8" ht="15" thickBot="1" x14ac:dyDescent="0.3">
      <c r="E829" s="4" t="s">
        <v>93</v>
      </c>
      <c r="F829" s="6">
        <v>20</v>
      </c>
      <c r="G829" s="21">
        <v>4.5</v>
      </c>
      <c r="H829" s="25">
        <f>IFERROR(F829-G829, " ")</f>
        <v>15.5</v>
      </c>
    </row>
    <row r="830" spans="1:8" x14ac:dyDescent="0.25">
      <c r="F830" s="5">
        <f>SUM(F826:F829)</f>
        <v>2570</v>
      </c>
      <c r="G830" s="5">
        <f>SUM(G826:G829)</f>
        <v>2554.5</v>
      </c>
      <c r="H830" s="5">
        <f>SUM(H826:H829)</f>
        <v>15.5</v>
      </c>
    </row>
    <row r="831" spans="1:8" x14ac:dyDescent="0.25">
      <c r="A831" s="22">
        <v>42466</v>
      </c>
      <c r="B831" s="4" t="s">
        <v>1105</v>
      </c>
      <c r="C831" s="4" t="s">
        <v>1106</v>
      </c>
      <c r="D831" s="4" t="s">
        <v>443</v>
      </c>
      <c r="E831" s="4" t="s">
        <v>1107</v>
      </c>
      <c r="F831" s="5">
        <v>350</v>
      </c>
      <c r="G831" s="20">
        <v>350</v>
      </c>
      <c r="H831" s="34">
        <f>IFERROR(F831-G831, " ")</f>
        <v>0</v>
      </c>
    </row>
    <row r="832" spans="1:8" x14ac:dyDescent="0.25">
      <c r="E832" s="4" t="s">
        <v>1108</v>
      </c>
      <c r="F832" s="5">
        <v>9.93</v>
      </c>
      <c r="H832" s="34">
        <f>IFERROR(F832-G832, " ")</f>
        <v>9.93</v>
      </c>
    </row>
    <row r="833" spans="2:8" x14ac:dyDescent="0.25">
      <c r="E833" s="4" t="s">
        <v>1109</v>
      </c>
      <c r="F833" s="5">
        <v>11.14</v>
      </c>
      <c r="H833" s="34">
        <f>IFERROR(F833-G833, " ")</f>
        <v>11.14</v>
      </c>
    </row>
    <row r="834" spans="2:8" ht="15" thickBot="1" x14ac:dyDescent="0.3">
      <c r="E834" s="4" t="s">
        <v>1110</v>
      </c>
      <c r="F834" s="6">
        <v>50.32</v>
      </c>
      <c r="G834" s="21">
        <f>26.3</f>
        <v>26.3</v>
      </c>
      <c r="H834" s="25">
        <f>IFERROR(F834-G834, " ")</f>
        <v>24.02</v>
      </c>
    </row>
    <row r="835" spans="2:8" x14ac:dyDescent="0.25">
      <c r="F835" s="5">
        <f>SUM(F831:F834)</f>
        <v>421.39</v>
      </c>
      <c r="G835" s="5">
        <f>SUM(G831:G834)</f>
        <v>376.3</v>
      </c>
      <c r="H835" s="5">
        <f>SUM(H831:H834)</f>
        <v>45.09</v>
      </c>
    </row>
    <row r="836" spans="2:8" x14ac:dyDescent="0.25">
      <c r="B836" s="4" t="s">
        <v>1111</v>
      </c>
      <c r="C836" s="4" t="s">
        <v>1112</v>
      </c>
      <c r="D836" s="4" t="s">
        <v>443</v>
      </c>
      <c r="E836" s="4" t="s">
        <v>1113</v>
      </c>
      <c r="F836" s="5">
        <v>450</v>
      </c>
      <c r="G836" s="20">
        <f>450</f>
        <v>450</v>
      </c>
      <c r="H836" s="34">
        <f>IFERROR(F836-G836, " ")</f>
        <v>0</v>
      </c>
    </row>
    <row r="837" spans="2:8" x14ac:dyDescent="0.25">
      <c r="E837" s="4" t="s">
        <v>387</v>
      </c>
      <c r="F837" s="5">
        <v>677.34</v>
      </c>
      <c r="H837" s="34">
        <f>IFERROR(F837-G837, " ")</f>
        <v>677.34</v>
      </c>
    </row>
    <row r="838" spans="2:8" x14ac:dyDescent="0.25">
      <c r="E838" s="4" t="s">
        <v>191</v>
      </c>
      <c r="F838" s="5">
        <v>1824.71</v>
      </c>
      <c r="G838" s="20">
        <f>1824.71</f>
        <v>1824.71</v>
      </c>
      <c r="H838" s="34">
        <f>IFERROR(F838-G838, " ")</f>
        <v>0</v>
      </c>
    </row>
    <row r="839" spans="2:8" ht="15" thickBot="1" x14ac:dyDescent="0.3">
      <c r="E839" s="4" t="s">
        <v>665</v>
      </c>
      <c r="F839" s="6">
        <v>475</v>
      </c>
      <c r="G839" s="21">
        <f>375+100</f>
        <v>475</v>
      </c>
      <c r="H839" s="25">
        <f>IFERROR(F839-G839, " ")</f>
        <v>0</v>
      </c>
    </row>
    <row r="840" spans="2:8" x14ac:dyDescent="0.25">
      <c r="F840" s="5">
        <f>SUM(F836:F839)</f>
        <v>3427.05</v>
      </c>
      <c r="G840" s="5">
        <f>SUM(G836:G839)</f>
        <v>2749.71</v>
      </c>
      <c r="H840" s="5">
        <f>SUM(H836:H839)</f>
        <v>677.34</v>
      </c>
    </row>
    <row r="841" spans="2:8" ht="15" thickBot="1" x14ac:dyDescent="0.3">
      <c r="B841" s="4" t="s">
        <v>1114</v>
      </c>
      <c r="C841" s="4" t="s">
        <v>1115</v>
      </c>
      <c r="D841" s="4" t="s">
        <v>443</v>
      </c>
      <c r="E841" s="4" t="s">
        <v>387</v>
      </c>
      <c r="F841" s="6">
        <v>43</v>
      </c>
      <c r="G841" s="21">
        <v>25.62</v>
      </c>
      <c r="H841" s="25">
        <f>IFERROR(F841-G841, " ")</f>
        <v>17.38</v>
      </c>
    </row>
    <row r="842" spans="2:8" x14ac:dyDescent="0.25">
      <c r="F842" s="5">
        <f>SUM(F841)</f>
        <v>43</v>
      </c>
      <c r="G842" s="5">
        <f>SUM(G841)</f>
        <v>25.62</v>
      </c>
      <c r="H842" s="5">
        <f>SUM(H841)</f>
        <v>17.38</v>
      </c>
    </row>
    <row r="843" spans="2:8" x14ac:dyDescent="0.25">
      <c r="B843" s="4" t="s">
        <v>1114</v>
      </c>
      <c r="C843" s="4" t="s">
        <v>1116</v>
      </c>
      <c r="D843" s="4" t="s">
        <v>443</v>
      </c>
      <c r="E843" s="4" t="s">
        <v>947</v>
      </c>
      <c r="F843" s="5">
        <v>23.13</v>
      </c>
      <c r="H843" s="34">
        <f>IFERROR(F843-G843, " ")</f>
        <v>23.13</v>
      </c>
    </row>
    <row r="844" spans="2:8" ht="15" thickBot="1" x14ac:dyDescent="0.3">
      <c r="E844" s="4" t="s">
        <v>1117</v>
      </c>
      <c r="F844" s="6">
        <v>9.5</v>
      </c>
      <c r="G844" s="21"/>
      <c r="H844" s="25">
        <f>IFERROR(F844-G844, " ")</f>
        <v>9.5</v>
      </c>
    </row>
    <row r="845" spans="2:8" x14ac:dyDescent="0.25">
      <c r="F845" s="5">
        <f>SUM(F843:F844)</f>
        <v>32.629999999999995</v>
      </c>
      <c r="G845" s="5">
        <f>SUM(G843:G844)</f>
        <v>0</v>
      </c>
      <c r="H845" s="34">
        <f>IFERROR(F845-G845, " ")</f>
        <v>32.629999999999995</v>
      </c>
    </row>
    <row r="846" spans="2:8" x14ac:dyDescent="0.25">
      <c r="B846" s="4" t="s">
        <v>404</v>
      </c>
      <c r="C846" s="4" t="s">
        <v>1118</v>
      </c>
      <c r="D846" s="4" t="s">
        <v>443</v>
      </c>
      <c r="E846" s="4" t="s">
        <v>1119</v>
      </c>
      <c r="F846" s="5">
        <v>3250</v>
      </c>
      <c r="G846" s="20">
        <v>3250</v>
      </c>
      <c r="H846" s="34">
        <f>IFERROR(F846-G846, " ")</f>
        <v>0</v>
      </c>
    </row>
    <row r="847" spans="2:8" ht="15" thickBot="1" x14ac:dyDescent="0.3">
      <c r="E847" s="4" t="s">
        <v>1076</v>
      </c>
      <c r="F847" s="6">
        <v>20.81</v>
      </c>
      <c r="G847" s="21"/>
      <c r="H847" s="25">
        <f>IFERROR(F847-G847, " ")</f>
        <v>20.81</v>
      </c>
    </row>
    <row r="848" spans="2:8" x14ac:dyDescent="0.25">
      <c r="F848" s="5">
        <f>SUM(F846:F847)</f>
        <v>3270.81</v>
      </c>
      <c r="G848" s="5">
        <f>SUM(G846:G847)</f>
        <v>3250</v>
      </c>
      <c r="H848" s="5">
        <f>SUM(H846:H847)</f>
        <v>20.81</v>
      </c>
    </row>
    <row r="849" spans="2:8" x14ac:dyDescent="0.25">
      <c r="B849" s="4" t="s">
        <v>284</v>
      </c>
      <c r="C849" s="4" t="s">
        <v>1120</v>
      </c>
      <c r="D849" s="4" t="s">
        <v>443</v>
      </c>
      <c r="E849" s="4" t="s">
        <v>1121</v>
      </c>
      <c r="F849" s="5">
        <v>350</v>
      </c>
      <c r="G849" s="20">
        <v>350</v>
      </c>
      <c r="H849" s="34">
        <f>IFERROR(F849-G849, " ")</f>
        <v>0</v>
      </c>
    </row>
    <row r="850" spans="2:8" x14ac:dyDescent="0.25">
      <c r="E850" s="4" t="s">
        <v>1122</v>
      </c>
      <c r="F850" s="5">
        <v>300</v>
      </c>
      <c r="G850" s="20">
        <v>100</v>
      </c>
      <c r="H850" s="34">
        <f>IFERROR(F850-G850, " ")</f>
        <v>200</v>
      </c>
    </row>
    <row r="851" spans="2:8" x14ac:dyDescent="0.25">
      <c r="E851" s="4" t="s">
        <v>1123</v>
      </c>
      <c r="F851" s="5">
        <v>100</v>
      </c>
      <c r="G851" s="20">
        <v>100</v>
      </c>
      <c r="H851" s="34">
        <f>IFERROR(F851-G851, " ")</f>
        <v>0</v>
      </c>
    </row>
    <row r="852" spans="2:8" x14ac:dyDescent="0.25">
      <c r="E852" s="4" t="s">
        <v>656</v>
      </c>
      <c r="F852" s="5">
        <v>473</v>
      </c>
      <c r="H852" s="34">
        <f>IFERROR(F852-G852, " ")</f>
        <v>473</v>
      </c>
    </row>
    <row r="853" spans="2:8" ht="15" thickBot="1" x14ac:dyDescent="0.3">
      <c r="E853" s="4" t="s">
        <v>641</v>
      </c>
      <c r="F853" s="6">
        <v>200</v>
      </c>
      <c r="G853" s="21">
        <f>100+100</f>
        <v>200</v>
      </c>
      <c r="H853" s="25">
        <f>IFERROR(F853-G853, " ")</f>
        <v>0</v>
      </c>
    </row>
    <row r="854" spans="2:8" x14ac:dyDescent="0.25">
      <c r="F854" s="5">
        <f>SUM(F849:F853)</f>
        <v>1423</v>
      </c>
      <c r="G854" s="5">
        <f>SUM(G849:G853)</f>
        <v>750</v>
      </c>
      <c r="H854" s="5">
        <f>SUM(H849:H853)</f>
        <v>673</v>
      </c>
    </row>
    <row r="855" spans="2:8" x14ac:dyDescent="0.25">
      <c r="B855" s="4" t="s">
        <v>354</v>
      </c>
      <c r="C855" s="4" t="s">
        <v>1124</v>
      </c>
      <c r="D855" s="4" t="s">
        <v>443</v>
      </c>
      <c r="E855" s="4" t="s">
        <v>1125</v>
      </c>
      <c r="F855" s="5">
        <v>300</v>
      </c>
      <c r="H855" s="34">
        <f t="shared" ref="H855:H861" si="21">IFERROR(F855-G855, " ")</f>
        <v>300</v>
      </c>
    </row>
    <row r="856" spans="2:8" x14ac:dyDescent="0.25">
      <c r="E856" s="4" t="s">
        <v>608</v>
      </c>
      <c r="F856" s="5">
        <v>100</v>
      </c>
      <c r="H856" s="34">
        <f t="shared" si="21"/>
        <v>100</v>
      </c>
    </row>
    <row r="857" spans="2:8" x14ac:dyDescent="0.25">
      <c r="E857" s="4" t="s">
        <v>454</v>
      </c>
      <c r="F857" s="5">
        <v>330</v>
      </c>
      <c r="H857" s="34">
        <f t="shared" si="21"/>
        <v>330</v>
      </c>
    </row>
    <row r="858" spans="2:8" x14ac:dyDescent="0.25">
      <c r="E858" s="4" t="s">
        <v>478</v>
      </c>
      <c r="F858" s="5">
        <v>204.96</v>
      </c>
      <c r="H858" s="34">
        <f t="shared" si="21"/>
        <v>204.96</v>
      </c>
    </row>
    <row r="859" spans="2:8" x14ac:dyDescent="0.25">
      <c r="E859" s="4" t="s">
        <v>1126</v>
      </c>
      <c r="F859" s="5">
        <v>423.6</v>
      </c>
      <c r="H859" s="34">
        <f t="shared" si="21"/>
        <v>423.6</v>
      </c>
    </row>
    <row r="860" spans="2:8" x14ac:dyDescent="0.25">
      <c r="E860" s="4" t="s">
        <v>1127</v>
      </c>
      <c r="F860" s="5">
        <v>237.05</v>
      </c>
      <c r="H860" s="34">
        <f t="shared" si="21"/>
        <v>237.05</v>
      </c>
    </row>
    <row r="861" spans="2:8" ht="15" thickBot="1" x14ac:dyDescent="0.3">
      <c r="E861" s="4" t="s">
        <v>945</v>
      </c>
      <c r="F861" s="6">
        <v>2125</v>
      </c>
      <c r="G861" s="21"/>
      <c r="H861" s="25">
        <f t="shared" si="21"/>
        <v>2125</v>
      </c>
    </row>
    <row r="862" spans="2:8" x14ac:dyDescent="0.25">
      <c r="F862" s="5">
        <f>SUM(F855:F861)</f>
        <v>3720.6099999999997</v>
      </c>
      <c r="G862" s="5">
        <f>SUM(G855:G861)</f>
        <v>0</v>
      </c>
      <c r="H862" s="5">
        <f>SUM(H855:H861)</f>
        <v>3720.6099999999997</v>
      </c>
    </row>
    <row r="863" spans="2:8" x14ac:dyDescent="0.25">
      <c r="B863" s="4" t="s">
        <v>354</v>
      </c>
      <c r="C863" s="4" t="s">
        <v>1115</v>
      </c>
      <c r="D863" s="4" t="s">
        <v>443</v>
      </c>
      <c r="E863" s="4" t="s">
        <v>1128</v>
      </c>
      <c r="F863" s="5">
        <v>60.8</v>
      </c>
      <c r="H863" s="34">
        <f>IFERROR(F863-G863, " ")</f>
        <v>60.8</v>
      </c>
    </row>
    <row r="864" spans="2:8" x14ac:dyDescent="0.25">
      <c r="E864" s="4" t="s">
        <v>294</v>
      </c>
      <c r="F864" s="5">
        <v>525</v>
      </c>
      <c r="G864" s="20">
        <v>525</v>
      </c>
      <c r="H864" s="34">
        <f>IFERROR(F864-G864, " ")</f>
        <v>0</v>
      </c>
    </row>
    <row r="865" spans="2:8" x14ac:dyDescent="0.25">
      <c r="E865" s="4" t="s">
        <v>24</v>
      </c>
      <c r="F865" s="5">
        <v>60</v>
      </c>
      <c r="G865" s="20">
        <v>44</v>
      </c>
      <c r="H865" s="34">
        <f>IFERROR(F865-G865, " ")</f>
        <v>16</v>
      </c>
    </row>
    <row r="866" spans="2:8" x14ac:dyDescent="0.25">
      <c r="E866" s="4" t="s">
        <v>1129</v>
      </c>
      <c r="F866" s="5">
        <v>330</v>
      </c>
      <c r="G866" s="20">
        <v>330</v>
      </c>
      <c r="H866" s="34">
        <f>IFERROR(F866-G866, " ")</f>
        <v>0</v>
      </c>
    </row>
    <row r="867" spans="2:8" ht="15" thickBot="1" x14ac:dyDescent="0.3">
      <c r="E867" s="4" t="s">
        <v>1052</v>
      </c>
      <c r="F867" s="6">
        <v>495</v>
      </c>
      <c r="G867" s="21">
        <f>495</f>
        <v>495</v>
      </c>
      <c r="H867" s="25">
        <f>IFERROR(F867-G867, " ")</f>
        <v>0</v>
      </c>
    </row>
    <row r="868" spans="2:8" x14ac:dyDescent="0.25">
      <c r="F868" s="5">
        <f>SUM(F863:F867)</f>
        <v>1470.8</v>
      </c>
      <c r="G868" s="5">
        <f>SUM(G863:G867)</f>
        <v>1394</v>
      </c>
      <c r="H868" s="5">
        <f>SUM(H863:H867)</f>
        <v>76.8</v>
      </c>
    </row>
    <row r="869" spans="2:8" x14ac:dyDescent="0.25">
      <c r="B869" s="4" t="s">
        <v>354</v>
      </c>
      <c r="C869" s="4" t="s">
        <v>1130</v>
      </c>
      <c r="D869" s="4" t="s">
        <v>443</v>
      </c>
      <c r="E869" s="4" t="s">
        <v>387</v>
      </c>
      <c r="F869" s="5">
        <f>30+40+314.51+80+90+20+5+239.8</f>
        <v>819.31</v>
      </c>
      <c r="G869" s="20">
        <f>38.24+247.1+76.65+23.97+107.91+131.89</f>
        <v>625.76</v>
      </c>
      <c r="H869" s="34">
        <f>IFERROR(F869-G869, " ")</f>
        <v>193.54999999999995</v>
      </c>
    </row>
    <row r="870" spans="2:8" x14ac:dyDescent="0.25">
      <c r="E870" s="4" t="s">
        <v>454</v>
      </c>
      <c r="F870" s="5">
        <v>180</v>
      </c>
      <c r="H870" s="34">
        <f>IFERROR(F870-G870, " ")</f>
        <v>180</v>
      </c>
    </row>
    <row r="871" spans="2:8" x14ac:dyDescent="0.25">
      <c r="E871" s="4" t="s">
        <v>478</v>
      </c>
      <c r="F871" s="5">
        <v>204.96</v>
      </c>
      <c r="H871" s="34">
        <f>IFERROR(F871-G871, " ")</f>
        <v>204.96</v>
      </c>
    </row>
    <row r="872" spans="2:8" ht="15" thickBot="1" x14ac:dyDescent="0.3">
      <c r="E872" s="4" t="s">
        <v>1131</v>
      </c>
      <c r="F872" s="6">
        <v>500</v>
      </c>
      <c r="G872" s="21"/>
      <c r="H872" s="25">
        <f>IFERROR(F872-G872, " ")</f>
        <v>500</v>
      </c>
    </row>
    <row r="873" spans="2:8" x14ac:dyDescent="0.25">
      <c r="F873" s="5">
        <f>SUM(F869:F872)</f>
        <v>1704.27</v>
      </c>
      <c r="G873" s="5">
        <f>SUM(G869:G872)</f>
        <v>625.76</v>
      </c>
      <c r="H873" s="5">
        <f>SUM(H869:H872)</f>
        <v>1078.51</v>
      </c>
    </row>
    <row r="874" spans="2:8" x14ac:dyDescent="0.25">
      <c r="B874" s="4" t="s">
        <v>7</v>
      </c>
      <c r="C874" s="4" t="s">
        <v>1132</v>
      </c>
      <c r="D874" s="4" t="s">
        <v>443</v>
      </c>
      <c r="E874" s="4" t="s">
        <v>1133</v>
      </c>
      <c r="F874" s="5">
        <v>162</v>
      </c>
      <c r="H874" s="34">
        <f>IFERROR(F874-G874, " ")</f>
        <v>162</v>
      </c>
    </row>
    <row r="875" spans="2:8" x14ac:dyDescent="0.25">
      <c r="E875" s="4" t="s">
        <v>1134</v>
      </c>
      <c r="F875" s="5">
        <v>51</v>
      </c>
      <c r="G875" s="20">
        <v>51</v>
      </c>
      <c r="H875" s="34">
        <f>IFERROR(F875-G875, " ")</f>
        <v>0</v>
      </c>
    </row>
    <row r="876" spans="2:8" ht="15" thickBot="1" x14ac:dyDescent="0.3">
      <c r="E876" s="4" t="s">
        <v>31</v>
      </c>
      <c r="F876" s="6">
        <v>10</v>
      </c>
      <c r="G876" s="21"/>
      <c r="H876" s="25">
        <f>IFERROR(F876-G876, " ")</f>
        <v>10</v>
      </c>
    </row>
    <row r="877" spans="2:8" x14ac:dyDescent="0.25">
      <c r="F877" s="5">
        <f>SUM(F874:F876)</f>
        <v>223</v>
      </c>
      <c r="G877" s="5">
        <f>SUM(G874:G876)</f>
        <v>51</v>
      </c>
      <c r="H877" s="5">
        <f>SUM(H874:H876)</f>
        <v>172</v>
      </c>
    </row>
    <row r="878" spans="2:8" x14ac:dyDescent="0.25">
      <c r="B878" s="4" t="s">
        <v>207</v>
      </c>
      <c r="C878" s="4" t="s">
        <v>1135</v>
      </c>
      <c r="D878" s="4" t="s">
        <v>443</v>
      </c>
      <c r="E878" s="4" t="s">
        <v>1136</v>
      </c>
      <c r="F878" s="5">
        <v>204.96</v>
      </c>
      <c r="H878" s="34">
        <f>IFERROR(F878-G878, " ")</f>
        <v>204.96</v>
      </c>
    </row>
    <row r="879" spans="2:8" x14ac:dyDescent="0.25">
      <c r="E879" s="4" t="s">
        <v>846</v>
      </c>
      <c r="F879" s="5">
        <v>660</v>
      </c>
      <c r="H879" s="34">
        <f>IFERROR(F879-G879, " ")</f>
        <v>660</v>
      </c>
    </row>
    <row r="880" spans="2:8" x14ac:dyDescent="0.25">
      <c r="E880" s="4" t="s">
        <v>789</v>
      </c>
      <c r="F880" s="5">
        <v>425</v>
      </c>
      <c r="G880" s="20">
        <v>425</v>
      </c>
      <c r="H880" s="34">
        <f>IFERROR(F880-G880, " ")</f>
        <v>0</v>
      </c>
    </row>
    <row r="881" spans="1:8" x14ac:dyDescent="0.25">
      <c r="E881" s="4" t="s">
        <v>1137</v>
      </c>
      <c r="F881" s="5">
        <v>4650</v>
      </c>
      <c r="G881" s="5">
        <v>4650</v>
      </c>
      <c r="H881" s="34">
        <f>IFERROR(F881-G881, " ")</f>
        <v>0</v>
      </c>
    </row>
    <row r="882" spans="1:8" ht="15" thickBot="1" x14ac:dyDescent="0.3">
      <c r="E882" s="4" t="s">
        <v>1138</v>
      </c>
      <c r="F882" s="6">
        <v>350</v>
      </c>
      <c r="G882" s="21"/>
      <c r="H882" s="25">
        <f>IFERROR(F882-G882, " ")</f>
        <v>350</v>
      </c>
    </row>
    <row r="883" spans="1:8" x14ac:dyDescent="0.25">
      <c r="F883" s="5">
        <f>SUM(F878:F882)</f>
        <v>6289.96</v>
      </c>
      <c r="G883" s="5">
        <f>SUM(G878:G882)</f>
        <v>5075</v>
      </c>
      <c r="H883" s="5">
        <f>SUM(H878:H882)</f>
        <v>1214.96</v>
      </c>
    </row>
    <row r="884" spans="1:8" x14ac:dyDescent="0.25">
      <c r="B884" s="4" t="s">
        <v>1100</v>
      </c>
      <c r="C884" s="4" t="s">
        <v>1101</v>
      </c>
      <c r="D884" s="4" t="s">
        <v>443</v>
      </c>
      <c r="E884" s="4" t="s">
        <v>188</v>
      </c>
      <c r="F884" s="5">
        <v>383.29</v>
      </c>
      <c r="G884" s="20">
        <f>383.29</f>
        <v>383.29</v>
      </c>
      <c r="H884" s="34">
        <f>IFERROR(F884-G884, " ")</f>
        <v>0</v>
      </c>
    </row>
    <row r="885" spans="1:8" x14ac:dyDescent="0.25">
      <c r="E885" s="4" t="s">
        <v>1139</v>
      </c>
      <c r="F885" s="5">
        <v>406.89</v>
      </c>
      <c r="G885" s="20">
        <f>620.51-383.29</f>
        <v>237.21999999999997</v>
      </c>
      <c r="H885" s="34">
        <f>IFERROR(F885-G885, " ")</f>
        <v>169.67000000000002</v>
      </c>
    </row>
    <row r="886" spans="1:8" ht="15" thickBot="1" x14ac:dyDescent="0.3">
      <c r="E886" s="4" t="s">
        <v>1140</v>
      </c>
      <c r="F886" s="6">
        <v>2500</v>
      </c>
      <c r="G886" s="21">
        <v>2500</v>
      </c>
      <c r="H886" s="25">
        <f>IFERROR(F886-G886, " ")</f>
        <v>0</v>
      </c>
    </row>
    <row r="887" spans="1:8" x14ac:dyDescent="0.25">
      <c r="F887" s="5">
        <f>SUM(F884:F886)</f>
        <v>3290.1800000000003</v>
      </c>
      <c r="G887" s="5">
        <f>SUM(G884:G886)</f>
        <v>3120.51</v>
      </c>
      <c r="H887" s="5">
        <f>SUM(H884:H886)</f>
        <v>169.67000000000002</v>
      </c>
    </row>
    <row r="888" spans="1:8" x14ac:dyDescent="0.25">
      <c r="A888" s="23">
        <v>42473</v>
      </c>
      <c r="B888" s="4" t="s">
        <v>88</v>
      </c>
      <c r="C888" s="4" t="s">
        <v>1141</v>
      </c>
      <c r="D888" s="4" t="s">
        <v>443</v>
      </c>
      <c r="E888" s="4" t="s">
        <v>945</v>
      </c>
      <c r="F888" s="5">
        <v>1099</v>
      </c>
      <c r="G888" s="20">
        <v>1099</v>
      </c>
      <c r="H888" s="34">
        <f>IFERROR(F888-G888, " ")</f>
        <v>0</v>
      </c>
    </row>
    <row r="889" spans="1:8" x14ac:dyDescent="0.25">
      <c r="E889" s="4" t="s">
        <v>1143</v>
      </c>
      <c r="F889" s="5">
        <v>500</v>
      </c>
      <c r="H889" s="34">
        <f>IFERROR(F889-G889, " ")</f>
        <v>500</v>
      </c>
    </row>
    <row r="890" spans="1:8" x14ac:dyDescent="0.25">
      <c r="E890" s="4" t="s">
        <v>188</v>
      </c>
      <c r="F890" s="5">
        <v>97.88</v>
      </c>
      <c r="G890" s="20">
        <f>28.73</f>
        <v>28.73</v>
      </c>
      <c r="H890" s="34">
        <f>IFERROR(F890-G893, " ")</f>
        <v>4.1999999999999886</v>
      </c>
    </row>
    <row r="891" spans="1:8" x14ac:dyDescent="0.25">
      <c r="E891" s="4" t="s">
        <v>387</v>
      </c>
      <c r="F891" s="5">
        <v>194.88</v>
      </c>
      <c r="G891" s="20">
        <v>135.96</v>
      </c>
      <c r="H891" s="34">
        <f>IFERROR(F891-G891, " ")</f>
        <v>58.919999999999987</v>
      </c>
    </row>
    <row r="892" spans="1:8" x14ac:dyDescent="0.25">
      <c r="E892" s="4" t="s">
        <v>79</v>
      </c>
      <c r="F892" s="4">
        <v>40.619999999999997</v>
      </c>
      <c r="H892" s="34">
        <f>IFERROR(F892-G892, " ")</f>
        <v>40.619999999999997</v>
      </c>
    </row>
    <row r="893" spans="1:8" ht="15" thickBot="1" x14ac:dyDescent="0.3">
      <c r="E893" s="4" t="s">
        <v>1142</v>
      </c>
      <c r="F893" s="6">
        <v>136.07</v>
      </c>
      <c r="G893" s="21">
        <f>93.68</f>
        <v>93.68</v>
      </c>
      <c r="H893" s="25" t="str">
        <f>IFERROR(F893-#REF!, " ")</f>
        <v xml:space="preserve"> </v>
      </c>
    </row>
    <row r="894" spans="1:8" x14ac:dyDescent="0.25">
      <c r="F894" s="5">
        <f>SUM(F888:F893)</f>
        <v>2068.4500000000003</v>
      </c>
      <c r="G894" s="5">
        <f>SUM(G888:G893)</f>
        <v>1357.3700000000001</v>
      </c>
      <c r="H894" s="5">
        <f>SUM(H888:H893)</f>
        <v>603.74</v>
      </c>
    </row>
    <row r="895" spans="1:8" x14ac:dyDescent="0.25">
      <c r="B895" s="4" t="s">
        <v>1077</v>
      </c>
      <c r="C895" s="4" t="s">
        <v>1144</v>
      </c>
      <c r="D895" s="4" t="s">
        <v>443</v>
      </c>
      <c r="E895" s="4" t="s">
        <v>1145</v>
      </c>
      <c r="F895" s="5">
        <v>1195</v>
      </c>
      <c r="G895" s="20">
        <v>1195</v>
      </c>
      <c r="H895" s="34">
        <f t="shared" ref="H895:H909" si="22">IFERROR(F895-G895, " ")</f>
        <v>0</v>
      </c>
    </row>
    <row r="896" spans="1:8" x14ac:dyDescent="0.25">
      <c r="E896" s="4" t="s">
        <v>63</v>
      </c>
      <c r="F896" s="5">
        <v>650</v>
      </c>
      <c r="G896" s="20">
        <f>628</f>
        <v>628</v>
      </c>
      <c r="H896" s="34">
        <f t="shared" si="22"/>
        <v>22</v>
      </c>
    </row>
    <row r="897" spans="2:8" x14ac:dyDescent="0.25">
      <c r="E897" s="4" t="s">
        <v>1146</v>
      </c>
      <c r="F897" s="5">
        <v>595</v>
      </c>
      <c r="G897" s="20">
        <v>595</v>
      </c>
      <c r="H897" s="34">
        <f t="shared" si="22"/>
        <v>0</v>
      </c>
    </row>
    <row r="898" spans="2:8" x14ac:dyDescent="0.25">
      <c r="E898" s="4" t="s">
        <v>1147</v>
      </c>
      <c r="F898" s="5">
        <v>550</v>
      </c>
      <c r="H898" s="34">
        <f t="shared" si="22"/>
        <v>550</v>
      </c>
    </row>
    <row r="899" spans="2:8" x14ac:dyDescent="0.25">
      <c r="E899" s="4" t="s">
        <v>1148</v>
      </c>
      <c r="F899" s="5">
        <v>495</v>
      </c>
      <c r="G899" s="20">
        <v>495</v>
      </c>
      <c r="H899" s="34">
        <f t="shared" si="22"/>
        <v>0</v>
      </c>
    </row>
    <row r="900" spans="2:8" x14ac:dyDescent="0.25">
      <c r="E900" s="4" t="s">
        <v>1149</v>
      </c>
      <c r="F900" s="5">
        <v>395</v>
      </c>
      <c r="G900" s="20">
        <v>395</v>
      </c>
      <c r="H900" s="34">
        <f t="shared" si="22"/>
        <v>0</v>
      </c>
    </row>
    <row r="901" spans="2:8" x14ac:dyDescent="0.25">
      <c r="E901" s="4" t="s">
        <v>478</v>
      </c>
      <c r="F901" s="5">
        <v>275</v>
      </c>
      <c r="H901" s="34">
        <f t="shared" si="22"/>
        <v>275</v>
      </c>
    </row>
    <row r="902" spans="2:8" x14ac:dyDescent="0.25">
      <c r="E902" s="4" t="s">
        <v>1150</v>
      </c>
      <c r="F902" s="5">
        <v>250</v>
      </c>
      <c r="G902" s="20">
        <v>250</v>
      </c>
      <c r="H902" s="34">
        <f t="shared" si="22"/>
        <v>0</v>
      </c>
    </row>
    <row r="903" spans="2:8" x14ac:dyDescent="0.25">
      <c r="E903" s="4" t="s">
        <v>1151</v>
      </c>
      <c r="F903" s="5">
        <v>250</v>
      </c>
      <c r="G903" s="20">
        <v>250</v>
      </c>
      <c r="H903" s="34">
        <f t="shared" si="22"/>
        <v>0</v>
      </c>
    </row>
    <row r="904" spans="2:8" x14ac:dyDescent="0.25">
      <c r="E904" s="4" t="s">
        <v>641</v>
      </c>
      <c r="F904" s="5">
        <v>200</v>
      </c>
      <c r="G904" s="20">
        <v>100</v>
      </c>
      <c r="H904" s="34">
        <f t="shared" si="22"/>
        <v>100</v>
      </c>
    </row>
    <row r="905" spans="2:8" x14ac:dyDescent="0.25">
      <c r="E905" s="4" t="s">
        <v>1152</v>
      </c>
      <c r="F905" s="5">
        <v>275</v>
      </c>
      <c r="G905" s="20">
        <v>275</v>
      </c>
      <c r="H905" s="34">
        <f t="shared" si="22"/>
        <v>0</v>
      </c>
    </row>
    <row r="906" spans="2:8" x14ac:dyDescent="0.25">
      <c r="E906" s="4" t="s">
        <v>1153</v>
      </c>
      <c r="F906" s="5">
        <v>125</v>
      </c>
      <c r="H906" s="34">
        <f t="shared" si="22"/>
        <v>125</v>
      </c>
    </row>
    <row r="907" spans="2:8" x14ac:dyDescent="0.25">
      <c r="E907" s="4" t="s">
        <v>1154</v>
      </c>
      <c r="F907" s="5">
        <v>85</v>
      </c>
      <c r="H907" s="34">
        <f t="shared" si="22"/>
        <v>85</v>
      </c>
    </row>
    <row r="908" spans="2:8" x14ac:dyDescent="0.25">
      <c r="E908" s="4" t="s">
        <v>625</v>
      </c>
      <c r="F908" s="5">
        <v>0</v>
      </c>
      <c r="H908" s="34">
        <f t="shared" si="22"/>
        <v>0</v>
      </c>
    </row>
    <row r="909" spans="2:8" ht="15" thickBot="1" x14ac:dyDescent="0.3">
      <c r="E909" s="4" t="s">
        <v>1155</v>
      </c>
      <c r="F909" s="6">
        <v>5</v>
      </c>
      <c r="G909" s="21"/>
      <c r="H909" s="25">
        <f t="shared" si="22"/>
        <v>5</v>
      </c>
    </row>
    <row r="910" spans="2:8" x14ac:dyDescent="0.25">
      <c r="F910" s="5">
        <f>SUM(F895:F909)</f>
        <v>5345</v>
      </c>
      <c r="G910" s="5">
        <f>SUM(G895:G909)</f>
        <v>4183</v>
      </c>
      <c r="H910" s="5">
        <f>SUM(H895:H909)</f>
        <v>1162</v>
      </c>
    </row>
    <row r="911" spans="2:8" x14ac:dyDescent="0.25">
      <c r="B911" s="4" t="s">
        <v>1156</v>
      </c>
      <c r="C911" s="4" t="s">
        <v>890</v>
      </c>
      <c r="D911" s="4" t="s">
        <v>443</v>
      </c>
      <c r="E911" s="4" t="s">
        <v>731</v>
      </c>
      <c r="F911" s="5">
        <v>25</v>
      </c>
      <c r="H911" s="34">
        <f>IFERROR(F911-G911, " ")</f>
        <v>25</v>
      </c>
    </row>
    <row r="912" spans="2:8" x14ac:dyDescent="0.25">
      <c r="E912" s="4" t="s">
        <v>1157</v>
      </c>
      <c r="F912" s="5">
        <v>240</v>
      </c>
      <c r="H912" s="34">
        <f>IFERROR(F912-G912, " ")</f>
        <v>240</v>
      </c>
    </row>
    <row r="913" spans="1:8" x14ac:dyDescent="0.25">
      <c r="E913" s="4" t="s">
        <v>947</v>
      </c>
      <c r="F913" s="5">
        <v>60</v>
      </c>
      <c r="H913" s="34">
        <f>IFERROR(F913-G913, " ")</f>
        <v>60</v>
      </c>
    </row>
    <row r="914" spans="1:8" ht="15" thickBot="1" x14ac:dyDescent="0.3">
      <c r="E914" s="4" t="s">
        <v>925</v>
      </c>
      <c r="F914" s="6">
        <v>216</v>
      </c>
      <c r="G914" s="21"/>
      <c r="H914" s="25">
        <f>IFERROR(F914-G914, " ")</f>
        <v>216</v>
      </c>
    </row>
    <row r="915" spans="1:8" x14ac:dyDescent="0.25">
      <c r="F915" s="5">
        <f>SUM(F911:F914)</f>
        <v>541</v>
      </c>
      <c r="G915" s="5">
        <f>SUM(G911:G914)</f>
        <v>0</v>
      </c>
      <c r="H915" s="5">
        <f>SUM(H911:H914)</f>
        <v>541</v>
      </c>
    </row>
    <row r="916" spans="1:8" x14ac:dyDescent="0.25">
      <c r="B916" s="4" t="s">
        <v>122</v>
      </c>
      <c r="C916" s="4" t="s">
        <v>1158</v>
      </c>
      <c r="D916" s="4" t="s">
        <v>443</v>
      </c>
      <c r="E916" s="4" t="s">
        <v>1159</v>
      </c>
      <c r="F916" s="5">
        <v>15000</v>
      </c>
      <c r="G916" s="20">
        <v>15000</v>
      </c>
      <c r="H916" s="34">
        <f t="shared" ref="H916:H921" si="23">IFERROR(F916-G916, " ")</f>
        <v>0</v>
      </c>
    </row>
    <row r="917" spans="1:8" x14ac:dyDescent="0.25">
      <c r="E917" s="4" t="s">
        <v>1160</v>
      </c>
      <c r="F917" s="5">
        <f>6500+200</f>
        <v>6700</v>
      </c>
      <c r="G917" s="20">
        <v>6500</v>
      </c>
      <c r="H917" s="34">
        <f t="shared" si="23"/>
        <v>200</v>
      </c>
    </row>
    <row r="918" spans="1:8" x14ac:dyDescent="0.25">
      <c r="E918" s="4" t="s">
        <v>474</v>
      </c>
      <c r="F918" s="5">
        <v>1000</v>
      </c>
      <c r="H918" s="34">
        <f t="shared" si="23"/>
        <v>1000</v>
      </c>
    </row>
    <row r="919" spans="1:8" x14ac:dyDescent="0.25">
      <c r="E919" s="4" t="s">
        <v>1187</v>
      </c>
      <c r="F919" s="52">
        <v>200</v>
      </c>
      <c r="G919" s="20">
        <v>200</v>
      </c>
      <c r="H919" s="34">
        <f t="shared" si="23"/>
        <v>0</v>
      </c>
    </row>
    <row r="920" spans="1:8" x14ac:dyDescent="0.25">
      <c r="E920" s="4" t="s">
        <v>146</v>
      </c>
      <c r="F920" s="5">
        <v>200</v>
      </c>
      <c r="G920" s="20">
        <f>52.72+60.58</f>
        <v>113.3</v>
      </c>
      <c r="H920" s="34">
        <f t="shared" si="23"/>
        <v>86.7</v>
      </c>
    </row>
    <row r="921" spans="1:8" ht="15" thickBot="1" x14ac:dyDescent="0.3">
      <c r="E921" s="4" t="s">
        <v>1161</v>
      </c>
      <c r="F921" s="6">
        <v>-12755</v>
      </c>
      <c r="G921" s="21"/>
      <c r="H921" s="25">
        <f t="shared" si="23"/>
        <v>-12755</v>
      </c>
    </row>
    <row r="922" spans="1:8" x14ac:dyDescent="0.25">
      <c r="F922" s="5">
        <f>SUM(F916:F921)</f>
        <v>10345</v>
      </c>
      <c r="G922" s="5">
        <f>SUM(G916:G921)</f>
        <v>21813.3</v>
      </c>
      <c r="H922" s="5">
        <f>SUM(H916:H921)</f>
        <v>-11468.3</v>
      </c>
    </row>
    <row r="923" spans="1:8" ht="15" thickBot="1" x14ac:dyDescent="0.3">
      <c r="A923" s="23">
        <v>42479</v>
      </c>
      <c r="B923" s="4" t="s">
        <v>317</v>
      </c>
      <c r="C923" s="4" t="s">
        <v>1162</v>
      </c>
      <c r="D923" s="4" t="s">
        <v>443</v>
      </c>
      <c r="E923" s="4" t="s">
        <v>387</v>
      </c>
      <c r="F923" s="6">
        <v>80</v>
      </c>
      <c r="G923" s="21"/>
      <c r="H923" s="25">
        <f>IFERROR(F923-G923, " ")</f>
        <v>80</v>
      </c>
    </row>
    <row r="924" spans="1:8" x14ac:dyDescent="0.25">
      <c r="F924" s="5">
        <f>SUM(F923)</f>
        <v>80</v>
      </c>
      <c r="G924" s="5">
        <f>SUM(G923)</f>
        <v>0</v>
      </c>
      <c r="H924" s="5">
        <f>SUM(H923)</f>
        <v>80</v>
      </c>
    </row>
    <row r="925" spans="1:8" ht="15" thickBot="1" x14ac:dyDescent="0.3">
      <c r="B925" s="4" t="s">
        <v>110</v>
      </c>
      <c r="C925" s="4" t="s">
        <v>1163</v>
      </c>
      <c r="D925" s="4" t="s">
        <v>443</v>
      </c>
      <c r="E925" s="4" t="s">
        <v>387</v>
      </c>
      <c r="F925" s="6">
        <v>93.57</v>
      </c>
      <c r="G925" s="21">
        <f>93.57</f>
        <v>93.57</v>
      </c>
      <c r="H925" s="25">
        <f>IFERROR(F925-G925, " ")</f>
        <v>0</v>
      </c>
    </row>
    <row r="926" spans="1:8" x14ac:dyDescent="0.25">
      <c r="F926" s="5">
        <f>SUM(F925)</f>
        <v>93.57</v>
      </c>
      <c r="G926" s="5">
        <f>SUM(G925)</f>
        <v>93.57</v>
      </c>
      <c r="H926" s="5">
        <f>SUM(H925)</f>
        <v>0</v>
      </c>
    </row>
    <row r="927" spans="1:8" ht="15" thickBot="1" x14ac:dyDescent="0.3">
      <c r="B927" s="4" t="s">
        <v>110</v>
      </c>
      <c r="C927" s="4" t="s">
        <v>1164</v>
      </c>
      <c r="D927" s="4" t="s">
        <v>443</v>
      </c>
      <c r="E927" s="4" t="s">
        <v>1165</v>
      </c>
      <c r="F927" s="6">
        <v>750</v>
      </c>
      <c r="G927" s="21"/>
      <c r="H927" s="25">
        <f>IFERROR(F927-G927, " ")</f>
        <v>750</v>
      </c>
    </row>
    <row r="928" spans="1:8" x14ac:dyDescent="0.25">
      <c r="F928" s="5">
        <f>SUM(F927)</f>
        <v>750</v>
      </c>
      <c r="G928" s="5">
        <f>SUM(G927)</f>
        <v>0</v>
      </c>
      <c r="H928" s="5">
        <f>SUM(H927)</f>
        <v>750</v>
      </c>
    </row>
    <row r="929" spans="1:8" x14ac:dyDescent="0.25">
      <c r="B929" s="4" t="s">
        <v>1166</v>
      </c>
      <c r="C929" s="4" t="s">
        <v>1167</v>
      </c>
      <c r="D929" s="4" t="s">
        <v>443</v>
      </c>
      <c r="E929" s="4" t="s">
        <v>1168</v>
      </c>
      <c r="F929" s="5">
        <v>600</v>
      </c>
      <c r="G929" s="20">
        <f>241.45</f>
        <v>241.45</v>
      </c>
      <c r="H929" s="34">
        <f>IFERROR(F929-G929, " ")</f>
        <v>358.55</v>
      </c>
    </row>
    <row r="930" spans="1:8" ht="15" thickBot="1" x14ac:dyDescent="0.3">
      <c r="E930" s="4" t="s">
        <v>191</v>
      </c>
      <c r="F930" s="6">
        <v>156.31</v>
      </c>
      <c r="G930" s="21">
        <f>126.53</f>
        <v>126.53</v>
      </c>
      <c r="H930" s="25">
        <f>IFERROR(F930-G930, " ")</f>
        <v>29.78</v>
      </c>
    </row>
    <row r="931" spans="1:8" x14ac:dyDescent="0.25">
      <c r="F931" s="5">
        <f>SUM(F929:F930)</f>
        <v>756.31</v>
      </c>
      <c r="G931" s="5">
        <f>SUM(G929:G930)</f>
        <v>367.98</v>
      </c>
      <c r="H931" s="5">
        <f>SUM(H929:H930)</f>
        <v>388.33000000000004</v>
      </c>
    </row>
    <row r="932" spans="1:8" x14ac:dyDescent="0.25">
      <c r="A932" s="23">
        <v>42487</v>
      </c>
      <c r="B932" s="4" t="s">
        <v>1102</v>
      </c>
      <c r="C932" s="4" t="s">
        <v>446</v>
      </c>
      <c r="D932" s="4" t="s">
        <v>444</v>
      </c>
      <c r="E932" s="4" t="s">
        <v>1169</v>
      </c>
      <c r="F932" s="5">
        <v>288.60000000000002</v>
      </c>
      <c r="H932" s="34">
        <f>IFERROR(F932-G932, " ")</f>
        <v>288.60000000000002</v>
      </c>
    </row>
    <row r="933" spans="1:8" ht="15" thickBot="1" x14ac:dyDescent="0.3">
      <c r="E933" s="4" t="s">
        <v>191</v>
      </c>
      <c r="F933" s="6">
        <v>100</v>
      </c>
      <c r="G933" s="21"/>
      <c r="H933" s="25">
        <f>IFERROR(F933-G933, " ")</f>
        <v>100</v>
      </c>
    </row>
    <row r="934" spans="1:8" x14ac:dyDescent="0.25">
      <c r="F934" s="5">
        <f>SUM(F932:F933)</f>
        <v>388.6</v>
      </c>
      <c r="G934" s="5">
        <f>SUM(G932:G933)</f>
        <v>0</v>
      </c>
      <c r="H934" s="5">
        <f>SUM(H932:H933)</f>
        <v>388.6</v>
      </c>
    </row>
    <row r="935" spans="1:8" ht="15" thickBot="1" x14ac:dyDescent="0.3">
      <c r="B935" s="4" t="s">
        <v>88</v>
      </c>
      <c r="C935" s="4" t="s">
        <v>1170</v>
      </c>
      <c r="D935" s="4" t="s">
        <v>443</v>
      </c>
      <c r="E935" s="4" t="s">
        <v>1171</v>
      </c>
      <c r="F935" s="6">
        <v>1250</v>
      </c>
      <c r="G935" s="21"/>
      <c r="H935" s="25">
        <f>IFERROR(F935-G935, " ")</f>
        <v>1250</v>
      </c>
    </row>
    <row r="936" spans="1:8" x14ac:dyDescent="0.25">
      <c r="F936" s="5">
        <f>SUM(F935)</f>
        <v>1250</v>
      </c>
      <c r="G936" s="5">
        <f>SUM(G935)</f>
        <v>0</v>
      </c>
      <c r="H936" s="5">
        <f>SUM(H935)</f>
        <v>1250</v>
      </c>
    </row>
    <row r="937" spans="1:8" x14ac:dyDescent="0.25">
      <c r="B937" s="4" t="s">
        <v>1172</v>
      </c>
      <c r="C937" s="4" t="s">
        <v>1173</v>
      </c>
      <c r="D937" s="4" t="s">
        <v>443</v>
      </c>
      <c r="E937" s="4" t="s">
        <v>1129</v>
      </c>
      <c r="F937" s="5">
        <v>45</v>
      </c>
      <c r="H937" s="34">
        <f t="shared" ref="H937:H942" si="24">IFERROR(F937-G937, " ")</f>
        <v>45</v>
      </c>
    </row>
    <row r="938" spans="1:8" x14ac:dyDescent="0.25">
      <c r="E938" s="4" t="s">
        <v>387</v>
      </c>
      <c r="F938" s="5">
        <v>26.27</v>
      </c>
      <c r="H938" s="34">
        <f t="shared" si="24"/>
        <v>26.27</v>
      </c>
    </row>
    <row r="939" spans="1:8" x14ac:dyDescent="0.25">
      <c r="E939" s="4" t="s">
        <v>1174</v>
      </c>
      <c r="F939" s="5">
        <v>34.590000000000003</v>
      </c>
      <c r="H939" s="34">
        <f t="shared" si="24"/>
        <v>34.590000000000003</v>
      </c>
    </row>
    <row r="940" spans="1:8" x14ac:dyDescent="0.25">
      <c r="E940" s="4" t="s">
        <v>1175</v>
      </c>
      <c r="F940" s="5">
        <v>20</v>
      </c>
      <c r="H940" s="34">
        <f t="shared" si="24"/>
        <v>20</v>
      </c>
    </row>
    <row r="941" spans="1:8" x14ac:dyDescent="0.25">
      <c r="E941" s="4" t="s">
        <v>1176</v>
      </c>
      <c r="F941" s="5">
        <v>13.47</v>
      </c>
      <c r="H941" s="34">
        <f t="shared" si="24"/>
        <v>13.47</v>
      </c>
    </row>
    <row r="942" spans="1:8" ht="15" thickBot="1" x14ac:dyDescent="0.3">
      <c r="E942" s="4" t="s">
        <v>1177</v>
      </c>
      <c r="F942" s="6">
        <v>14.99</v>
      </c>
      <c r="G942" s="21"/>
      <c r="H942" s="25">
        <f t="shared" si="24"/>
        <v>14.99</v>
      </c>
    </row>
    <row r="943" spans="1:8" x14ac:dyDescent="0.25">
      <c r="F943" s="5">
        <f>SUM(F937:F942)</f>
        <v>154.32000000000002</v>
      </c>
      <c r="G943" s="5">
        <f>SUM(G937:G942)</f>
        <v>0</v>
      </c>
      <c r="H943" s="5">
        <f>SUM(H937:H942)</f>
        <v>154.32000000000002</v>
      </c>
    </row>
    <row r="944" spans="1:8" ht="15" thickBot="1" x14ac:dyDescent="0.3">
      <c r="B944" s="4" t="s">
        <v>414</v>
      </c>
      <c r="C944" s="4" t="s">
        <v>1178</v>
      </c>
      <c r="D944" s="4" t="s">
        <v>443</v>
      </c>
      <c r="E944" s="4" t="s">
        <v>1179</v>
      </c>
      <c r="F944" s="6">
        <v>2000</v>
      </c>
      <c r="G944" s="21">
        <v>1610</v>
      </c>
      <c r="H944" s="25">
        <f>IFERROR(F944-G944, " ")</f>
        <v>390</v>
      </c>
    </row>
    <row r="945" spans="2:8" x14ac:dyDescent="0.25">
      <c r="F945" s="5">
        <f>SUM(F944)</f>
        <v>2000</v>
      </c>
      <c r="G945" s="5">
        <f>SUM(G944)</f>
        <v>1610</v>
      </c>
      <c r="H945" s="34">
        <f>IFERROR(F945-G945, " ")</f>
        <v>390</v>
      </c>
    </row>
    <row r="946" spans="2:8" x14ac:dyDescent="0.25">
      <c r="B946" s="4" t="s">
        <v>223</v>
      </c>
      <c r="C946" s="4" t="s">
        <v>228</v>
      </c>
      <c r="D946" s="4" t="s">
        <v>443</v>
      </c>
      <c r="E946" s="4" t="s">
        <v>1180</v>
      </c>
      <c r="F946" s="5">
        <v>4050</v>
      </c>
      <c r="H946" s="34">
        <f>IFERROR(F946-G946, " ")</f>
        <v>4050</v>
      </c>
    </row>
    <row r="947" spans="2:8" x14ac:dyDescent="0.25">
      <c r="E947" s="4" t="s">
        <v>1181</v>
      </c>
      <c r="F947" s="5">
        <v>2000</v>
      </c>
      <c r="H947" s="34">
        <f>IFERROR(F947-G947, " ")</f>
        <v>2000</v>
      </c>
    </row>
    <row r="948" spans="2:8" ht="15" thickBot="1" x14ac:dyDescent="0.3">
      <c r="E948" s="4" t="s">
        <v>230</v>
      </c>
      <c r="F948" s="6">
        <v>566.75</v>
      </c>
      <c r="G948" s="21"/>
      <c r="H948" s="25">
        <f>IFERROR(F948-G948, " ")</f>
        <v>566.75</v>
      </c>
    </row>
    <row r="949" spans="2:8" x14ac:dyDescent="0.25">
      <c r="F949" s="5">
        <f>SUM(F946:F948)</f>
        <v>6616.75</v>
      </c>
      <c r="G949" s="5">
        <f>SUM(G946:G948)</f>
        <v>0</v>
      </c>
      <c r="H949" s="5">
        <f>SUM(H946:H948)</f>
        <v>6616.75</v>
      </c>
    </row>
    <row r="950" spans="2:8" x14ac:dyDescent="0.25">
      <c r="B950" s="4" t="s">
        <v>122</v>
      </c>
      <c r="C950" s="4" t="s">
        <v>1164</v>
      </c>
      <c r="D950" s="4" t="s">
        <v>443</v>
      </c>
      <c r="E950" s="4" t="s">
        <v>447</v>
      </c>
      <c r="F950" s="5">
        <v>1800</v>
      </c>
      <c r="H950" s="34">
        <f>IFERROR(F950-G950, " ")</f>
        <v>1800</v>
      </c>
    </row>
    <row r="951" spans="2:8" ht="15" thickBot="1" x14ac:dyDescent="0.3">
      <c r="E951" s="4" t="s">
        <v>191</v>
      </c>
      <c r="F951" s="6">
        <v>200</v>
      </c>
      <c r="G951" s="21">
        <v>200</v>
      </c>
      <c r="H951" s="25">
        <f>IFERROR(F951-G951, " ")</f>
        <v>0</v>
      </c>
    </row>
    <row r="952" spans="2:8" x14ac:dyDescent="0.25">
      <c r="F952" s="5">
        <f>SUM(F950:F951)</f>
        <v>2000</v>
      </c>
      <c r="G952" s="5">
        <f>SUM(G950:G951)</f>
        <v>200</v>
      </c>
      <c r="H952" s="5">
        <f>SUM(H950:H951)</f>
        <v>1800</v>
      </c>
    </row>
    <row r="953" spans="2:8" ht="15" thickBot="1" x14ac:dyDescent="0.3">
      <c r="B953" s="4" t="s">
        <v>1094</v>
      </c>
      <c r="C953" s="4" t="s">
        <v>1182</v>
      </c>
      <c r="D953" s="4" t="s">
        <v>443</v>
      </c>
      <c r="E953" s="4" t="s">
        <v>1183</v>
      </c>
      <c r="F953" s="6">
        <v>3000</v>
      </c>
      <c r="G953" s="21"/>
      <c r="H953" s="25">
        <f>IFERROR(F953-G953, " ")</f>
        <v>3000</v>
      </c>
    </row>
    <row r="954" spans="2:8" x14ac:dyDescent="0.25">
      <c r="F954" s="5">
        <f>SUM(F953)</f>
        <v>3000</v>
      </c>
      <c r="G954" s="5">
        <f>SUM(G953)</f>
        <v>0</v>
      </c>
      <c r="H954" s="5">
        <f>SUM(H953)</f>
        <v>3000</v>
      </c>
    </row>
    <row r="955" spans="2:8" ht="15" thickBot="1" x14ac:dyDescent="0.3">
      <c r="B955" s="4" t="s">
        <v>862</v>
      </c>
      <c r="C955" s="4" t="s">
        <v>1184</v>
      </c>
      <c r="D955" s="4" t="s">
        <v>443</v>
      </c>
      <c r="E955" s="4" t="s">
        <v>186</v>
      </c>
      <c r="F955" s="6">
        <v>1135.2</v>
      </c>
      <c r="G955" s="21"/>
      <c r="H955" s="25">
        <f>IFERROR(F955-G955, " ")</f>
        <v>1135.2</v>
      </c>
    </row>
    <row r="956" spans="2:8" x14ac:dyDescent="0.25">
      <c r="F956" s="5">
        <f>SUM(F955)</f>
        <v>1135.2</v>
      </c>
      <c r="G956" s="5">
        <f>SUM(G955)</f>
        <v>0</v>
      </c>
      <c r="H956" s="5">
        <f>SUM(H955)</f>
        <v>1135.2</v>
      </c>
    </row>
    <row r="957" spans="2:8" x14ac:dyDescent="0.25">
      <c r="B957" s="4" t="s">
        <v>88</v>
      </c>
      <c r="C957" s="4" t="s">
        <v>1185</v>
      </c>
      <c r="D957" s="4" t="s">
        <v>443</v>
      </c>
      <c r="E957" s="4" t="s">
        <v>93</v>
      </c>
      <c r="F957" s="5">
        <v>150</v>
      </c>
      <c r="H957" s="34">
        <f>IFERROR(F957-G957, " ")</f>
        <v>150</v>
      </c>
    </row>
    <row r="958" spans="2:8" ht="15" thickBot="1" x14ac:dyDescent="0.3">
      <c r="E958" s="4" t="s">
        <v>1186</v>
      </c>
      <c r="F958" s="6">
        <v>500</v>
      </c>
      <c r="G958" s="21"/>
      <c r="H958" s="25">
        <f>IFERROR(F958-G958, " ")</f>
        <v>500</v>
      </c>
    </row>
    <row r="959" spans="2:8" x14ac:dyDescent="0.25">
      <c r="F959" s="5">
        <f>SUM(F957:F958)</f>
        <v>650</v>
      </c>
      <c r="G959" s="5">
        <f>SUM(G957:G958)</f>
        <v>0</v>
      </c>
      <c r="H959" s="5">
        <f>SUM(H957:H958)</f>
        <v>650</v>
      </c>
    </row>
  </sheetData>
  <autoFilter ref="B1:B926"/>
  <conditionalFormatting sqref="H2 H4:H6 H9:H18 H20:H49 H51:H72 H74:H84 H86:H91 H93:H97 H99:H100 H102:H104 H106:H108 H110:H112 H114:H116 H118:H120 H122:H123">
    <cfRule type="cellIs" dxfId="271" priority="271" operator="lessThan">
      <formula>0</formula>
    </cfRule>
  </conditionalFormatting>
  <conditionalFormatting sqref="H7">
    <cfRule type="cellIs" dxfId="270" priority="270" operator="lessThan">
      <formula>0</formula>
    </cfRule>
  </conditionalFormatting>
  <conditionalFormatting sqref="H124">
    <cfRule type="cellIs" dxfId="269" priority="269" operator="lessThan">
      <formula>0</formula>
    </cfRule>
  </conditionalFormatting>
  <conditionalFormatting sqref="H125">
    <cfRule type="cellIs" dxfId="268" priority="268" operator="lessThan">
      <formula>0</formula>
    </cfRule>
  </conditionalFormatting>
  <conditionalFormatting sqref="H128:H132">
    <cfRule type="cellIs" dxfId="267" priority="267" operator="lessThan">
      <formula>0</formula>
    </cfRule>
  </conditionalFormatting>
  <conditionalFormatting sqref="H133">
    <cfRule type="cellIs" dxfId="266" priority="266" operator="lessThan">
      <formula>0</formula>
    </cfRule>
  </conditionalFormatting>
  <conditionalFormatting sqref="H134">
    <cfRule type="cellIs" dxfId="265" priority="265" operator="lessThan">
      <formula>0</formula>
    </cfRule>
  </conditionalFormatting>
  <conditionalFormatting sqref="H135">
    <cfRule type="cellIs" dxfId="264" priority="264" operator="lessThan">
      <formula>0</formula>
    </cfRule>
  </conditionalFormatting>
  <conditionalFormatting sqref="H136">
    <cfRule type="cellIs" dxfId="263" priority="263" operator="lessThan">
      <formula>0</formula>
    </cfRule>
  </conditionalFormatting>
  <conditionalFormatting sqref="H137">
    <cfRule type="cellIs" dxfId="262" priority="262" operator="lessThan">
      <formula>0</formula>
    </cfRule>
  </conditionalFormatting>
  <conditionalFormatting sqref="H139">
    <cfRule type="cellIs" dxfId="261" priority="261" operator="lessThan">
      <formula>0</formula>
    </cfRule>
  </conditionalFormatting>
  <conditionalFormatting sqref="H140">
    <cfRule type="cellIs" dxfId="260" priority="260" operator="lessThan">
      <formula>0</formula>
    </cfRule>
  </conditionalFormatting>
  <conditionalFormatting sqref="H141">
    <cfRule type="cellIs" dxfId="259" priority="259" operator="lessThan">
      <formula>0</formula>
    </cfRule>
  </conditionalFormatting>
  <conditionalFormatting sqref="H142">
    <cfRule type="cellIs" dxfId="258" priority="258" operator="lessThan">
      <formula>0</formula>
    </cfRule>
  </conditionalFormatting>
  <conditionalFormatting sqref="H143">
    <cfRule type="cellIs" dxfId="257" priority="257" operator="lessThan">
      <formula>0</formula>
    </cfRule>
  </conditionalFormatting>
  <conditionalFormatting sqref="H145">
    <cfRule type="cellIs" dxfId="256" priority="256" operator="lessThan">
      <formula>0</formula>
    </cfRule>
  </conditionalFormatting>
  <conditionalFormatting sqref="H146">
    <cfRule type="cellIs" dxfId="255" priority="255" operator="lessThan">
      <formula>0</formula>
    </cfRule>
  </conditionalFormatting>
  <conditionalFormatting sqref="H147">
    <cfRule type="cellIs" dxfId="254" priority="254" operator="lessThan">
      <formula>0</formula>
    </cfRule>
  </conditionalFormatting>
  <conditionalFormatting sqref="H148">
    <cfRule type="cellIs" dxfId="253" priority="253" operator="lessThan">
      <formula>0</formula>
    </cfRule>
  </conditionalFormatting>
  <conditionalFormatting sqref="H149">
    <cfRule type="cellIs" dxfId="252" priority="252" operator="lessThan">
      <formula>0</formula>
    </cfRule>
  </conditionalFormatting>
  <conditionalFormatting sqref="H150">
    <cfRule type="cellIs" dxfId="251" priority="251" operator="lessThan">
      <formula>0</formula>
    </cfRule>
  </conditionalFormatting>
  <conditionalFormatting sqref="H151">
    <cfRule type="cellIs" dxfId="250" priority="250" operator="lessThan">
      <formula>0</formula>
    </cfRule>
  </conditionalFormatting>
  <conditionalFormatting sqref="H144">
    <cfRule type="cellIs" dxfId="249" priority="249" operator="lessThan">
      <formula>0</formula>
    </cfRule>
  </conditionalFormatting>
  <conditionalFormatting sqref="H152">
    <cfRule type="cellIs" dxfId="248" priority="248" operator="lessThan">
      <formula>0</formula>
    </cfRule>
  </conditionalFormatting>
  <conditionalFormatting sqref="H153">
    <cfRule type="cellIs" dxfId="247" priority="247" operator="lessThan">
      <formula>0</formula>
    </cfRule>
  </conditionalFormatting>
  <conditionalFormatting sqref="H154">
    <cfRule type="cellIs" dxfId="246" priority="246" operator="lessThan">
      <formula>0</formula>
    </cfRule>
  </conditionalFormatting>
  <conditionalFormatting sqref="H155">
    <cfRule type="cellIs" dxfId="245" priority="245" operator="lessThan">
      <formula>0</formula>
    </cfRule>
  </conditionalFormatting>
  <conditionalFormatting sqref="H157">
    <cfRule type="cellIs" dxfId="244" priority="244" operator="lessThan">
      <formula>0</formula>
    </cfRule>
  </conditionalFormatting>
  <conditionalFormatting sqref="H159">
    <cfRule type="cellIs" dxfId="243" priority="243" operator="lessThan">
      <formula>0</formula>
    </cfRule>
  </conditionalFormatting>
  <conditionalFormatting sqref="H160">
    <cfRule type="cellIs" dxfId="242" priority="242" operator="lessThan">
      <formula>0</formula>
    </cfRule>
  </conditionalFormatting>
  <conditionalFormatting sqref="H161">
    <cfRule type="cellIs" dxfId="241" priority="241" operator="lessThan">
      <formula>0</formula>
    </cfRule>
  </conditionalFormatting>
  <conditionalFormatting sqref="H163">
    <cfRule type="cellIs" dxfId="240" priority="240" operator="lessThan">
      <formula>0</formula>
    </cfRule>
  </conditionalFormatting>
  <conditionalFormatting sqref="H164">
    <cfRule type="cellIs" dxfId="239" priority="239" operator="lessThan">
      <formula>0</formula>
    </cfRule>
  </conditionalFormatting>
  <conditionalFormatting sqref="H165">
    <cfRule type="cellIs" dxfId="238" priority="238" operator="lessThan">
      <formula>0</formula>
    </cfRule>
  </conditionalFormatting>
  <conditionalFormatting sqref="H166">
    <cfRule type="cellIs" dxfId="237" priority="237" operator="lessThan">
      <formula>0</formula>
    </cfRule>
  </conditionalFormatting>
  <conditionalFormatting sqref="H167">
    <cfRule type="cellIs" dxfId="236" priority="236" operator="lessThan">
      <formula>0</formula>
    </cfRule>
  </conditionalFormatting>
  <conditionalFormatting sqref="H169">
    <cfRule type="cellIs" dxfId="235" priority="235" operator="lessThan">
      <formula>0</formula>
    </cfRule>
  </conditionalFormatting>
  <conditionalFormatting sqref="H170">
    <cfRule type="cellIs" dxfId="234" priority="234" operator="lessThan">
      <formula>0</formula>
    </cfRule>
  </conditionalFormatting>
  <conditionalFormatting sqref="H172">
    <cfRule type="cellIs" dxfId="233" priority="233" operator="lessThan">
      <formula>0</formula>
    </cfRule>
  </conditionalFormatting>
  <conditionalFormatting sqref="G176:H176">
    <cfRule type="cellIs" dxfId="232" priority="232" operator="lessThan">
      <formula>0</formula>
    </cfRule>
  </conditionalFormatting>
  <conditionalFormatting sqref="F176">
    <cfRule type="cellIs" dxfId="231" priority="231" operator="lessThan">
      <formula>0</formula>
    </cfRule>
  </conditionalFormatting>
  <conditionalFormatting sqref="H174">
    <cfRule type="cellIs" dxfId="230" priority="230" operator="lessThan">
      <formula>0</formula>
    </cfRule>
  </conditionalFormatting>
  <conditionalFormatting sqref="H175">
    <cfRule type="cellIs" dxfId="229" priority="229" operator="lessThan">
      <formula>0</formula>
    </cfRule>
  </conditionalFormatting>
  <conditionalFormatting sqref="H178">
    <cfRule type="cellIs" dxfId="228" priority="228" operator="lessThan">
      <formula>0</formula>
    </cfRule>
  </conditionalFormatting>
  <conditionalFormatting sqref="H179">
    <cfRule type="cellIs" dxfId="227" priority="227" operator="lessThan">
      <formula>0</formula>
    </cfRule>
  </conditionalFormatting>
  <conditionalFormatting sqref="H189:H192">
    <cfRule type="cellIs" dxfId="226" priority="223" operator="lessThan">
      <formula>0</formula>
    </cfRule>
  </conditionalFormatting>
  <conditionalFormatting sqref="H181:H185">
    <cfRule type="cellIs" dxfId="225" priority="225" operator="lessThan">
      <formula>0</formula>
    </cfRule>
  </conditionalFormatting>
  <conditionalFormatting sqref="H187">
    <cfRule type="cellIs" dxfId="224" priority="224" operator="lessThan">
      <formula>0</formula>
    </cfRule>
  </conditionalFormatting>
  <conditionalFormatting sqref="H199">
    <cfRule type="cellIs" dxfId="223" priority="221" operator="lessThan">
      <formula>0</formula>
    </cfRule>
  </conditionalFormatting>
  <conditionalFormatting sqref="H221">
    <cfRule type="cellIs" dxfId="222" priority="217" operator="lessThan">
      <formula>0</formula>
    </cfRule>
  </conditionalFormatting>
  <conditionalFormatting sqref="H198">
    <cfRule type="cellIs" dxfId="221" priority="222" operator="lessThan">
      <formula>0</formula>
    </cfRule>
  </conditionalFormatting>
  <conditionalFormatting sqref="H201:H217">
    <cfRule type="cellIs" dxfId="220" priority="220" operator="lessThan">
      <formula>0</formula>
    </cfRule>
  </conditionalFormatting>
  <conditionalFormatting sqref="H219">
    <cfRule type="cellIs" dxfId="219" priority="219" operator="lessThan">
      <formula>0</formula>
    </cfRule>
  </conditionalFormatting>
  <conditionalFormatting sqref="H220">
    <cfRule type="cellIs" dxfId="218" priority="218" operator="lessThan">
      <formula>0</formula>
    </cfRule>
  </conditionalFormatting>
  <conditionalFormatting sqref="H222">
    <cfRule type="cellIs" dxfId="217" priority="216" operator="lessThan">
      <formula>0</formula>
    </cfRule>
  </conditionalFormatting>
  <conditionalFormatting sqref="H228">
    <cfRule type="cellIs" dxfId="216" priority="215" operator="lessThan">
      <formula>0</formula>
    </cfRule>
  </conditionalFormatting>
  <conditionalFormatting sqref="H229">
    <cfRule type="cellIs" dxfId="215" priority="214" operator="lessThan">
      <formula>0</formula>
    </cfRule>
  </conditionalFormatting>
  <conditionalFormatting sqref="H230">
    <cfRule type="cellIs" dxfId="214" priority="213" operator="lessThan">
      <formula>0</formula>
    </cfRule>
  </conditionalFormatting>
  <conditionalFormatting sqref="H231">
    <cfRule type="cellIs" dxfId="213" priority="212" operator="lessThan">
      <formula>0</formula>
    </cfRule>
  </conditionalFormatting>
  <conditionalFormatting sqref="H234">
    <cfRule type="cellIs" dxfId="212" priority="210" operator="lessThan">
      <formula>0</formula>
    </cfRule>
  </conditionalFormatting>
  <conditionalFormatting sqref="H235">
    <cfRule type="cellIs" dxfId="211" priority="209" operator="lessThan">
      <formula>0</formula>
    </cfRule>
  </conditionalFormatting>
  <conditionalFormatting sqref="H237:H243">
    <cfRule type="cellIs" dxfId="210" priority="208" operator="lessThan">
      <formula>0</formula>
    </cfRule>
  </conditionalFormatting>
  <conditionalFormatting sqref="H246:H250">
    <cfRule type="cellIs" dxfId="209" priority="207" operator="lessThan">
      <formula>0</formula>
    </cfRule>
  </conditionalFormatting>
  <conditionalFormatting sqref="H252:H255">
    <cfRule type="cellIs" dxfId="208" priority="206" operator="lessThan">
      <formula>0</formula>
    </cfRule>
  </conditionalFormatting>
  <conditionalFormatting sqref="H257:H261">
    <cfRule type="cellIs" dxfId="207" priority="205" operator="lessThan">
      <formula>0</formula>
    </cfRule>
  </conditionalFormatting>
  <conditionalFormatting sqref="H263:H267">
    <cfRule type="cellIs" dxfId="206" priority="204" operator="lessThan">
      <formula>0</formula>
    </cfRule>
  </conditionalFormatting>
  <conditionalFormatting sqref="H269:H275">
    <cfRule type="cellIs" dxfId="205" priority="203" operator="lessThan">
      <formula>0</formula>
    </cfRule>
  </conditionalFormatting>
  <conditionalFormatting sqref="H331:H353">
    <cfRule type="cellIs" dxfId="204" priority="202" operator="lessThan">
      <formula>0</formula>
    </cfRule>
  </conditionalFormatting>
  <conditionalFormatting sqref="H355:H359">
    <cfRule type="cellIs" dxfId="203" priority="201" operator="lessThan">
      <formula>0</formula>
    </cfRule>
  </conditionalFormatting>
  <conditionalFormatting sqref="H361">
    <cfRule type="cellIs" dxfId="202" priority="200" operator="lessThan">
      <formula>0</formula>
    </cfRule>
  </conditionalFormatting>
  <conditionalFormatting sqref="H362">
    <cfRule type="cellIs" dxfId="201" priority="199" operator="lessThan">
      <formula>0</formula>
    </cfRule>
  </conditionalFormatting>
  <conditionalFormatting sqref="H364">
    <cfRule type="cellIs" dxfId="200" priority="198" operator="lessThan">
      <formula>0</formula>
    </cfRule>
  </conditionalFormatting>
  <conditionalFormatting sqref="H366:H371">
    <cfRule type="cellIs" dxfId="199" priority="197" operator="lessThan">
      <formula>0</formula>
    </cfRule>
  </conditionalFormatting>
  <conditionalFormatting sqref="H373">
    <cfRule type="cellIs" dxfId="198" priority="196" operator="lessThan">
      <formula>0</formula>
    </cfRule>
  </conditionalFormatting>
  <conditionalFormatting sqref="H374">
    <cfRule type="cellIs" dxfId="197" priority="195" operator="lessThan">
      <formula>0</formula>
    </cfRule>
  </conditionalFormatting>
  <conditionalFormatting sqref="H375">
    <cfRule type="cellIs" dxfId="196" priority="194" operator="lessThan">
      <formula>0</formula>
    </cfRule>
  </conditionalFormatting>
  <conditionalFormatting sqref="H376">
    <cfRule type="cellIs" dxfId="195" priority="193" operator="lessThan">
      <formula>0</formula>
    </cfRule>
  </conditionalFormatting>
  <conditionalFormatting sqref="H377">
    <cfRule type="cellIs" dxfId="194" priority="192" operator="lessThan">
      <formula>0</formula>
    </cfRule>
  </conditionalFormatting>
  <conditionalFormatting sqref="H378">
    <cfRule type="cellIs" dxfId="193" priority="191" operator="lessThan">
      <formula>0</formula>
    </cfRule>
  </conditionalFormatting>
  <conditionalFormatting sqref="H379">
    <cfRule type="cellIs" dxfId="192" priority="190" operator="lessThan">
      <formula>0</formula>
    </cfRule>
  </conditionalFormatting>
  <conditionalFormatting sqref="H380">
    <cfRule type="cellIs" dxfId="191" priority="189" operator="lessThan">
      <formula>0</formula>
    </cfRule>
  </conditionalFormatting>
  <conditionalFormatting sqref="H381">
    <cfRule type="cellIs" dxfId="190" priority="188" operator="lessThan">
      <formula>0</formula>
    </cfRule>
  </conditionalFormatting>
  <conditionalFormatting sqref="H383">
    <cfRule type="cellIs" dxfId="189" priority="187" operator="lessThan">
      <formula>0</formula>
    </cfRule>
  </conditionalFormatting>
  <conditionalFormatting sqref="H384">
    <cfRule type="cellIs" dxfId="188" priority="186" operator="lessThan">
      <formula>0</formula>
    </cfRule>
  </conditionalFormatting>
  <conditionalFormatting sqref="H385">
    <cfRule type="cellIs" dxfId="187" priority="185" operator="lessThan">
      <formula>0</formula>
    </cfRule>
  </conditionalFormatting>
  <conditionalFormatting sqref="H387:H393">
    <cfRule type="cellIs" dxfId="186" priority="184" operator="lessThan">
      <formula>0</formula>
    </cfRule>
  </conditionalFormatting>
  <conditionalFormatting sqref="H277:H329">
    <cfRule type="cellIs" dxfId="185" priority="183" operator="lessThan">
      <formula>0</formula>
    </cfRule>
  </conditionalFormatting>
  <conditionalFormatting sqref="H405">
    <cfRule type="cellIs" dxfId="184" priority="182" operator="lessThan">
      <formula>0</formula>
    </cfRule>
  </conditionalFormatting>
  <conditionalFormatting sqref="H406">
    <cfRule type="cellIs" dxfId="183" priority="181" operator="lessThan">
      <formula>0</formula>
    </cfRule>
  </conditionalFormatting>
  <conditionalFormatting sqref="H407">
    <cfRule type="cellIs" dxfId="182" priority="180" operator="lessThan">
      <formula>0</formula>
    </cfRule>
  </conditionalFormatting>
  <conditionalFormatting sqref="H409">
    <cfRule type="cellIs" dxfId="181" priority="179" operator="lessThan">
      <formula>0</formula>
    </cfRule>
  </conditionalFormatting>
  <conditionalFormatting sqref="H411:H427">
    <cfRule type="cellIs" dxfId="180" priority="178" operator="lessThan">
      <formula>0</formula>
    </cfRule>
  </conditionalFormatting>
  <conditionalFormatting sqref="H396:H403">
    <cfRule type="cellIs" dxfId="179" priority="177" operator="lessThan">
      <formula>0</formula>
    </cfRule>
  </conditionalFormatting>
  <conditionalFormatting sqref="H429">
    <cfRule type="cellIs" dxfId="178" priority="176" operator="lessThan">
      <formula>0</formula>
    </cfRule>
  </conditionalFormatting>
  <conditionalFormatting sqref="H431:H439">
    <cfRule type="cellIs" dxfId="177" priority="175" operator="lessThan">
      <formula>0</formula>
    </cfRule>
  </conditionalFormatting>
  <conditionalFormatting sqref="H441">
    <cfRule type="cellIs" dxfId="176" priority="174" operator="lessThan">
      <formula>0</formula>
    </cfRule>
  </conditionalFormatting>
  <conditionalFormatting sqref="H442">
    <cfRule type="cellIs" dxfId="175" priority="173" operator="lessThan">
      <formula>0</formula>
    </cfRule>
  </conditionalFormatting>
  <conditionalFormatting sqref="H443">
    <cfRule type="cellIs" dxfId="174" priority="172" operator="lessThan">
      <formula>0</formula>
    </cfRule>
  </conditionalFormatting>
  <conditionalFormatting sqref="H444">
    <cfRule type="cellIs" dxfId="173" priority="171" operator="lessThan">
      <formula>0</formula>
    </cfRule>
  </conditionalFormatting>
  <conditionalFormatting sqref="H446">
    <cfRule type="cellIs" dxfId="172" priority="170" operator="lessThan">
      <formula>0</formula>
    </cfRule>
  </conditionalFormatting>
  <conditionalFormatting sqref="H448">
    <cfRule type="cellIs" dxfId="171" priority="169" operator="lessThan">
      <formula>0</formula>
    </cfRule>
  </conditionalFormatting>
  <conditionalFormatting sqref="H450">
    <cfRule type="cellIs" dxfId="170" priority="168" operator="lessThan">
      <formula>0</formula>
    </cfRule>
  </conditionalFormatting>
  <conditionalFormatting sqref="H452">
    <cfRule type="cellIs" dxfId="169" priority="167" operator="lessThan">
      <formula>0</formula>
    </cfRule>
  </conditionalFormatting>
  <conditionalFormatting sqref="H454:H458">
    <cfRule type="cellIs" dxfId="168" priority="166" operator="lessThan">
      <formula>0</formula>
    </cfRule>
  </conditionalFormatting>
  <conditionalFormatting sqref="H460:H464">
    <cfRule type="cellIs" dxfId="167" priority="165" operator="lessThan">
      <formula>0</formula>
    </cfRule>
  </conditionalFormatting>
  <conditionalFormatting sqref="H466:H476">
    <cfRule type="cellIs" dxfId="166" priority="164" operator="lessThan">
      <formula>0</formula>
    </cfRule>
  </conditionalFormatting>
  <conditionalFormatting sqref="H478:H487">
    <cfRule type="cellIs" dxfId="165" priority="163" operator="lessThan">
      <formula>0</formula>
    </cfRule>
  </conditionalFormatting>
  <conditionalFormatting sqref="H489:H510">
    <cfRule type="cellIs" dxfId="164" priority="162" operator="lessThan">
      <formula>0</formula>
    </cfRule>
  </conditionalFormatting>
  <conditionalFormatting sqref="H511:H519">
    <cfRule type="cellIs" dxfId="163" priority="161" operator="lessThan">
      <formula>0</formula>
    </cfRule>
  </conditionalFormatting>
  <conditionalFormatting sqref="H520">
    <cfRule type="cellIs" dxfId="162" priority="160" operator="lessThan">
      <formula>0</formula>
    </cfRule>
  </conditionalFormatting>
  <conditionalFormatting sqref="H521">
    <cfRule type="cellIs" dxfId="161" priority="159" operator="lessThan">
      <formula>0</formula>
    </cfRule>
  </conditionalFormatting>
  <conditionalFormatting sqref="H523">
    <cfRule type="cellIs" dxfId="160" priority="158" operator="lessThan">
      <formula>0</formula>
    </cfRule>
  </conditionalFormatting>
  <conditionalFormatting sqref="H525">
    <cfRule type="cellIs" dxfId="159" priority="157" operator="lessThan">
      <formula>0</formula>
    </cfRule>
  </conditionalFormatting>
  <conditionalFormatting sqref="H526">
    <cfRule type="cellIs" dxfId="158" priority="156" operator="lessThan">
      <formula>0</formula>
    </cfRule>
  </conditionalFormatting>
  <conditionalFormatting sqref="H553:H557">
    <cfRule type="cellIs" dxfId="157" priority="155" operator="lessThan">
      <formula>0</formula>
    </cfRule>
  </conditionalFormatting>
  <conditionalFormatting sqref="H559">
    <cfRule type="cellIs" dxfId="156" priority="154" operator="lessThan">
      <formula>0</formula>
    </cfRule>
  </conditionalFormatting>
  <conditionalFormatting sqref="H560">
    <cfRule type="cellIs" dxfId="155" priority="153" operator="lessThan">
      <formula>0</formula>
    </cfRule>
  </conditionalFormatting>
  <conditionalFormatting sqref="H562">
    <cfRule type="cellIs" dxfId="154" priority="152" operator="lessThan">
      <formula>0</formula>
    </cfRule>
  </conditionalFormatting>
  <conditionalFormatting sqref="H563">
    <cfRule type="cellIs" dxfId="153" priority="151" operator="lessThan">
      <formula>0</formula>
    </cfRule>
  </conditionalFormatting>
  <conditionalFormatting sqref="H565">
    <cfRule type="cellIs" dxfId="152" priority="150" operator="lessThan">
      <formula>0</formula>
    </cfRule>
  </conditionalFormatting>
  <conditionalFormatting sqref="H569:H574">
    <cfRule type="cellIs" dxfId="151" priority="149" operator="lessThan">
      <formula>0</formula>
    </cfRule>
  </conditionalFormatting>
  <conditionalFormatting sqref="H566">
    <cfRule type="cellIs" dxfId="150" priority="148" operator="lessThan">
      <formula>0</formula>
    </cfRule>
  </conditionalFormatting>
  <conditionalFormatting sqref="H576:H586">
    <cfRule type="cellIs" dxfId="149" priority="147" operator="lessThan">
      <formula>0</formula>
    </cfRule>
  </conditionalFormatting>
  <conditionalFormatting sqref="H588">
    <cfRule type="cellIs" dxfId="148" priority="146" operator="lessThan">
      <formula>0</formula>
    </cfRule>
  </conditionalFormatting>
  <conditionalFormatting sqref="H589">
    <cfRule type="cellIs" dxfId="147" priority="145" operator="lessThan">
      <formula>0</formula>
    </cfRule>
  </conditionalFormatting>
  <conditionalFormatting sqref="H590">
    <cfRule type="cellIs" dxfId="146" priority="144" operator="lessThan">
      <formula>0</formula>
    </cfRule>
  </conditionalFormatting>
  <conditionalFormatting sqref="H591">
    <cfRule type="cellIs" dxfId="145" priority="143" operator="lessThan">
      <formula>0</formula>
    </cfRule>
  </conditionalFormatting>
  <conditionalFormatting sqref="H592">
    <cfRule type="cellIs" dxfId="144" priority="142" operator="lessThan">
      <formula>0</formula>
    </cfRule>
  </conditionalFormatting>
  <conditionalFormatting sqref="H593:H596">
    <cfRule type="cellIs" dxfId="143" priority="141" operator="lessThan">
      <formula>0</formula>
    </cfRule>
  </conditionalFormatting>
  <conditionalFormatting sqref="H598:H600">
    <cfRule type="cellIs" dxfId="142" priority="140" operator="lessThan">
      <formula>0</formula>
    </cfRule>
  </conditionalFormatting>
  <conditionalFormatting sqref="H602:H604">
    <cfRule type="cellIs" dxfId="141" priority="139" operator="lessThan">
      <formula>0</formula>
    </cfRule>
  </conditionalFormatting>
  <conditionalFormatting sqref="H606:H607">
    <cfRule type="cellIs" dxfId="140" priority="138" operator="lessThan">
      <formula>0</formula>
    </cfRule>
  </conditionalFormatting>
  <conditionalFormatting sqref="H609">
    <cfRule type="cellIs" dxfId="139" priority="137" operator="lessThan">
      <formula>0</formula>
    </cfRule>
  </conditionalFormatting>
  <conditionalFormatting sqref="H610">
    <cfRule type="cellIs" dxfId="138" priority="136" operator="lessThan">
      <formula>0</formula>
    </cfRule>
  </conditionalFormatting>
  <conditionalFormatting sqref="H612:H616">
    <cfRule type="cellIs" dxfId="137" priority="135" operator="lessThan">
      <formula>0</formula>
    </cfRule>
  </conditionalFormatting>
  <conditionalFormatting sqref="H618:H625">
    <cfRule type="cellIs" dxfId="136" priority="134" operator="lessThan">
      <formula>0</formula>
    </cfRule>
  </conditionalFormatting>
  <conditionalFormatting sqref="H528:H529">
    <cfRule type="cellIs" dxfId="135" priority="133" operator="lessThan">
      <formula>0</formula>
    </cfRule>
  </conditionalFormatting>
  <conditionalFormatting sqref="H531:H545">
    <cfRule type="cellIs" dxfId="134" priority="132" operator="lessThan">
      <formula>0</formula>
    </cfRule>
  </conditionalFormatting>
  <conditionalFormatting sqref="H547:H550">
    <cfRule type="cellIs" dxfId="133" priority="131" operator="lessThan">
      <formula>0</formula>
    </cfRule>
  </conditionalFormatting>
  <conditionalFormatting sqref="H627">
    <cfRule type="cellIs" dxfId="132" priority="130" operator="lessThan">
      <formula>0</formula>
    </cfRule>
  </conditionalFormatting>
  <conditionalFormatting sqref="H628">
    <cfRule type="cellIs" dxfId="131" priority="129" operator="lessThan">
      <formula>0</formula>
    </cfRule>
  </conditionalFormatting>
  <conditionalFormatting sqref="H630:H655">
    <cfRule type="cellIs" dxfId="130" priority="128" operator="lessThan">
      <formula>0</formula>
    </cfRule>
  </conditionalFormatting>
  <conditionalFormatting sqref="H657:H661">
    <cfRule type="cellIs" dxfId="129" priority="127" operator="lessThan">
      <formula>0</formula>
    </cfRule>
  </conditionalFormatting>
  <conditionalFormatting sqref="H663:H665">
    <cfRule type="cellIs" dxfId="128" priority="126" operator="lessThan">
      <formula>0</formula>
    </cfRule>
  </conditionalFormatting>
  <conditionalFormatting sqref="H667:H675">
    <cfRule type="cellIs" dxfId="127" priority="125" operator="lessThan">
      <formula>0</formula>
    </cfRule>
  </conditionalFormatting>
  <conditionalFormatting sqref="H677:H678">
    <cfRule type="cellIs" dxfId="126" priority="124" operator="lessThan">
      <formula>0</formula>
    </cfRule>
  </conditionalFormatting>
  <conditionalFormatting sqref="H680:H681">
    <cfRule type="cellIs" dxfId="125" priority="123" operator="lessThan">
      <formula>0</formula>
    </cfRule>
  </conditionalFormatting>
  <conditionalFormatting sqref="H683:H686">
    <cfRule type="cellIs" dxfId="124" priority="122" operator="lessThan">
      <formula>0</formula>
    </cfRule>
  </conditionalFormatting>
  <conditionalFormatting sqref="H567">
    <cfRule type="cellIs" dxfId="123" priority="121" operator="lessThan">
      <formula>0</formula>
    </cfRule>
  </conditionalFormatting>
  <conditionalFormatting sqref="H688">
    <cfRule type="cellIs" dxfId="122" priority="120" operator="lessThan">
      <formula>0</formula>
    </cfRule>
  </conditionalFormatting>
  <conditionalFormatting sqref="H689">
    <cfRule type="cellIs" dxfId="121" priority="119" operator="lessThan">
      <formula>0</formula>
    </cfRule>
  </conditionalFormatting>
  <conditionalFormatting sqref="H690">
    <cfRule type="cellIs" dxfId="120" priority="118" operator="lessThan">
      <formula>0</formula>
    </cfRule>
  </conditionalFormatting>
  <conditionalFormatting sqref="H692:H693">
    <cfRule type="cellIs" dxfId="119" priority="117" operator="lessThan">
      <formula>0</formula>
    </cfRule>
  </conditionalFormatting>
  <conditionalFormatting sqref="H695:H698">
    <cfRule type="cellIs" dxfId="118" priority="116" operator="lessThan">
      <formula>0</formula>
    </cfRule>
  </conditionalFormatting>
  <conditionalFormatting sqref="H700">
    <cfRule type="cellIs" dxfId="117" priority="115" operator="lessThan">
      <formula>0</formula>
    </cfRule>
  </conditionalFormatting>
  <conditionalFormatting sqref="H701">
    <cfRule type="cellIs" dxfId="116" priority="114" operator="lessThan">
      <formula>0</formula>
    </cfRule>
  </conditionalFormatting>
  <conditionalFormatting sqref="H703">
    <cfRule type="cellIs" dxfId="115" priority="113" operator="lessThan">
      <formula>0</formula>
    </cfRule>
  </conditionalFormatting>
  <conditionalFormatting sqref="H704">
    <cfRule type="cellIs" dxfId="114" priority="112" operator="lessThan">
      <formula>0</formula>
    </cfRule>
  </conditionalFormatting>
  <conditionalFormatting sqref="H705">
    <cfRule type="cellIs" dxfId="113" priority="111" operator="lessThan">
      <formula>0</formula>
    </cfRule>
  </conditionalFormatting>
  <conditionalFormatting sqref="H706:H707">
    <cfRule type="cellIs" dxfId="112" priority="110" operator="lessThan">
      <formula>0</formula>
    </cfRule>
  </conditionalFormatting>
  <conditionalFormatting sqref="H708">
    <cfRule type="cellIs" dxfId="111" priority="109" operator="lessThan">
      <formula>0</formula>
    </cfRule>
  </conditionalFormatting>
  <conditionalFormatting sqref="H710:H714">
    <cfRule type="cellIs" dxfId="110" priority="108" operator="lessThan">
      <formula>0</formula>
    </cfRule>
  </conditionalFormatting>
  <conditionalFormatting sqref="H716">
    <cfRule type="cellIs" dxfId="109" priority="107" operator="lessThan">
      <formula>0</formula>
    </cfRule>
  </conditionalFormatting>
  <conditionalFormatting sqref="H717">
    <cfRule type="cellIs" dxfId="108" priority="106" operator="lessThan">
      <formula>0</formula>
    </cfRule>
  </conditionalFormatting>
  <conditionalFormatting sqref="H719">
    <cfRule type="cellIs" dxfId="107" priority="105" operator="lessThan">
      <formula>0</formula>
    </cfRule>
  </conditionalFormatting>
  <conditionalFormatting sqref="H721">
    <cfRule type="cellIs" dxfId="106" priority="104" operator="lessThan">
      <formula>0</formula>
    </cfRule>
  </conditionalFormatting>
  <conditionalFormatting sqref="H722">
    <cfRule type="cellIs" dxfId="105" priority="103" operator="lessThan">
      <formula>0</formula>
    </cfRule>
  </conditionalFormatting>
  <conditionalFormatting sqref="H723">
    <cfRule type="cellIs" dxfId="104" priority="102" operator="lessThan">
      <formula>0</formula>
    </cfRule>
  </conditionalFormatting>
  <conditionalFormatting sqref="H725">
    <cfRule type="cellIs" dxfId="103" priority="101" operator="lessThan">
      <formula>0</formula>
    </cfRule>
  </conditionalFormatting>
  <conditionalFormatting sqref="H726">
    <cfRule type="cellIs" dxfId="102" priority="100" operator="lessThan">
      <formula>0</formula>
    </cfRule>
  </conditionalFormatting>
  <conditionalFormatting sqref="H727">
    <cfRule type="cellIs" dxfId="101" priority="99" operator="lessThan">
      <formula>0</formula>
    </cfRule>
  </conditionalFormatting>
  <conditionalFormatting sqref="H728">
    <cfRule type="cellIs" dxfId="100" priority="98" operator="lessThan">
      <formula>0</formula>
    </cfRule>
  </conditionalFormatting>
  <conditionalFormatting sqref="H730">
    <cfRule type="cellIs" dxfId="99" priority="97" operator="lessThan">
      <formula>0</formula>
    </cfRule>
  </conditionalFormatting>
  <conditionalFormatting sqref="H732">
    <cfRule type="cellIs" dxfId="98" priority="96" operator="lessThan">
      <formula>0</formula>
    </cfRule>
  </conditionalFormatting>
  <conditionalFormatting sqref="H734:H738">
    <cfRule type="cellIs" dxfId="97" priority="95" operator="lessThan">
      <formula>0</formula>
    </cfRule>
  </conditionalFormatting>
  <conditionalFormatting sqref="H740">
    <cfRule type="cellIs" dxfId="96" priority="94" operator="lessThan">
      <formula>0</formula>
    </cfRule>
  </conditionalFormatting>
  <conditionalFormatting sqref="H744">
    <cfRule type="cellIs" dxfId="95" priority="93" operator="lessThan">
      <formula>0</formula>
    </cfRule>
  </conditionalFormatting>
  <conditionalFormatting sqref="H745">
    <cfRule type="cellIs" dxfId="94" priority="92" operator="lessThan">
      <formula>0</formula>
    </cfRule>
  </conditionalFormatting>
  <conditionalFormatting sqref="H746">
    <cfRule type="cellIs" dxfId="93" priority="91" operator="lessThan">
      <formula>0</formula>
    </cfRule>
  </conditionalFormatting>
  <conditionalFormatting sqref="H747">
    <cfRule type="cellIs" dxfId="92" priority="90" operator="lessThan">
      <formula>0</formula>
    </cfRule>
  </conditionalFormatting>
  <conditionalFormatting sqref="H749">
    <cfRule type="cellIs" dxfId="91" priority="89" operator="lessThan">
      <formula>0</formula>
    </cfRule>
  </conditionalFormatting>
  <conditionalFormatting sqref="H750">
    <cfRule type="cellIs" dxfId="90" priority="88" operator="lessThan">
      <formula>0</formula>
    </cfRule>
  </conditionalFormatting>
  <conditionalFormatting sqref="H752">
    <cfRule type="cellIs" dxfId="89" priority="87" operator="lessThan">
      <formula>0</formula>
    </cfRule>
  </conditionalFormatting>
  <conditionalFormatting sqref="H753">
    <cfRule type="cellIs" dxfId="88" priority="86" operator="lessThan">
      <formula>0</formula>
    </cfRule>
  </conditionalFormatting>
  <conditionalFormatting sqref="H754">
    <cfRule type="cellIs" dxfId="87" priority="85" operator="lessThan">
      <formula>0</formula>
    </cfRule>
  </conditionalFormatting>
  <conditionalFormatting sqref="H756">
    <cfRule type="cellIs" dxfId="86" priority="84" operator="lessThan">
      <formula>0</formula>
    </cfRule>
  </conditionalFormatting>
  <conditionalFormatting sqref="H757">
    <cfRule type="cellIs" dxfId="85" priority="83" operator="lessThan">
      <formula>0</formula>
    </cfRule>
  </conditionalFormatting>
  <conditionalFormatting sqref="H758">
    <cfRule type="cellIs" dxfId="84" priority="82" operator="lessThan">
      <formula>0</formula>
    </cfRule>
  </conditionalFormatting>
  <conditionalFormatting sqref="H760">
    <cfRule type="cellIs" dxfId="83" priority="81" operator="lessThan">
      <formula>0</formula>
    </cfRule>
  </conditionalFormatting>
  <conditionalFormatting sqref="H761">
    <cfRule type="cellIs" dxfId="82" priority="80" operator="lessThan">
      <formula>0</formula>
    </cfRule>
  </conditionalFormatting>
  <conditionalFormatting sqref="H763:H772">
    <cfRule type="cellIs" dxfId="81" priority="79" operator="lessThan">
      <formula>0</formula>
    </cfRule>
  </conditionalFormatting>
  <conditionalFormatting sqref="H775">
    <cfRule type="cellIs" dxfId="80" priority="78" operator="lessThan">
      <formula>0</formula>
    </cfRule>
  </conditionalFormatting>
  <conditionalFormatting sqref="H774">
    <cfRule type="cellIs" dxfId="79" priority="77" operator="lessThan">
      <formula>0</formula>
    </cfRule>
  </conditionalFormatting>
  <conditionalFormatting sqref="H777:H786">
    <cfRule type="cellIs" dxfId="78" priority="76" operator="lessThan">
      <formula>0</formula>
    </cfRule>
  </conditionalFormatting>
  <conditionalFormatting sqref="H788">
    <cfRule type="cellIs" dxfId="77" priority="75" operator="lessThan">
      <formula>0</formula>
    </cfRule>
  </conditionalFormatting>
  <conditionalFormatting sqref="H789">
    <cfRule type="cellIs" dxfId="76" priority="74" operator="lessThan">
      <formula>0</formula>
    </cfRule>
  </conditionalFormatting>
  <conditionalFormatting sqref="H791">
    <cfRule type="cellIs" dxfId="75" priority="73" operator="lessThan">
      <formula>0</formula>
    </cfRule>
  </conditionalFormatting>
  <conditionalFormatting sqref="H793:H802">
    <cfRule type="cellIs" dxfId="74" priority="72" operator="lessThan">
      <formula>0</formula>
    </cfRule>
  </conditionalFormatting>
  <conditionalFormatting sqref="H804">
    <cfRule type="cellIs" dxfId="73" priority="71" operator="lessThan">
      <formula>0</formula>
    </cfRule>
  </conditionalFormatting>
  <conditionalFormatting sqref="H806">
    <cfRule type="cellIs" dxfId="72" priority="70" operator="lessThan">
      <formula>0</formula>
    </cfRule>
  </conditionalFormatting>
  <conditionalFormatting sqref="H807">
    <cfRule type="cellIs" dxfId="71" priority="69" operator="lessThan">
      <formula>0</formula>
    </cfRule>
  </conditionalFormatting>
  <conditionalFormatting sqref="H808">
    <cfRule type="cellIs" dxfId="70" priority="68" operator="lessThan">
      <formula>0</formula>
    </cfRule>
  </conditionalFormatting>
  <conditionalFormatting sqref="H810:H814">
    <cfRule type="cellIs" dxfId="69" priority="67" operator="lessThan">
      <formula>0</formula>
    </cfRule>
  </conditionalFormatting>
  <conditionalFormatting sqref="H816">
    <cfRule type="cellIs" dxfId="68" priority="66" operator="lessThan">
      <formula>0</formula>
    </cfRule>
  </conditionalFormatting>
  <conditionalFormatting sqref="H818">
    <cfRule type="cellIs" dxfId="67" priority="65" operator="lessThan">
      <formula>0</formula>
    </cfRule>
  </conditionalFormatting>
  <conditionalFormatting sqref="H820">
    <cfRule type="cellIs" dxfId="66" priority="64" operator="lessThan">
      <formula>0</formula>
    </cfRule>
  </conditionalFormatting>
  <conditionalFormatting sqref="H821">
    <cfRule type="cellIs" dxfId="65" priority="63" operator="lessThan">
      <formula>0</formula>
    </cfRule>
  </conditionalFormatting>
  <conditionalFormatting sqref="H823">
    <cfRule type="cellIs" dxfId="64" priority="62" operator="lessThan">
      <formula>0</formula>
    </cfRule>
  </conditionalFormatting>
  <conditionalFormatting sqref="H824">
    <cfRule type="cellIs" dxfId="63" priority="61" operator="lessThan">
      <formula>0</formula>
    </cfRule>
  </conditionalFormatting>
  <conditionalFormatting sqref="H826:H829">
    <cfRule type="cellIs" dxfId="62" priority="60" operator="lessThan">
      <formula>0</formula>
    </cfRule>
  </conditionalFormatting>
  <conditionalFormatting sqref="H831:H834">
    <cfRule type="cellIs" dxfId="61" priority="59" operator="lessThan">
      <formula>0</formula>
    </cfRule>
  </conditionalFormatting>
  <conditionalFormatting sqref="H836">
    <cfRule type="cellIs" dxfId="60" priority="58" operator="lessThan">
      <formula>0</formula>
    </cfRule>
  </conditionalFormatting>
  <conditionalFormatting sqref="H837">
    <cfRule type="cellIs" dxfId="59" priority="57" operator="lessThan">
      <formula>0</formula>
    </cfRule>
  </conditionalFormatting>
  <conditionalFormatting sqref="H838">
    <cfRule type="cellIs" dxfId="58" priority="56" operator="lessThan">
      <formula>0</formula>
    </cfRule>
  </conditionalFormatting>
  <conditionalFormatting sqref="H839">
    <cfRule type="cellIs" dxfId="57" priority="55" operator="lessThan">
      <formula>0</formula>
    </cfRule>
  </conditionalFormatting>
  <conditionalFormatting sqref="H841">
    <cfRule type="cellIs" dxfId="56" priority="54" operator="lessThan">
      <formula>0</formula>
    </cfRule>
  </conditionalFormatting>
  <conditionalFormatting sqref="H843:H845">
    <cfRule type="cellIs" dxfId="55" priority="53" operator="lessThan">
      <formula>0</formula>
    </cfRule>
  </conditionalFormatting>
  <conditionalFormatting sqref="H846">
    <cfRule type="cellIs" dxfId="54" priority="52" operator="lessThan">
      <formula>0</formula>
    </cfRule>
  </conditionalFormatting>
  <conditionalFormatting sqref="H847">
    <cfRule type="cellIs" dxfId="53" priority="51" operator="lessThan">
      <formula>0</formula>
    </cfRule>
  </conditionalFormatting>
  <conditionalFormatting sqref="H849:H853">
    <cfRule type="cellIs" dxfId="52" priority="50" operator="lessThan">
      <formula>0</formula>
    </cfRule>
  </conditionalFormatting>
  <conditionalFormatting sqref="H855">
    <cfRule type="cellIs" dxfId="51" priority="49" operator="lessThan">
      <formula>0</formula>
    </cfRule>
  </conditionalFormatting>
  <conditionalFormatting sqref="H856">
    <cfRule type="cellIs" dxfId="50" priority="48" operator="lessThan">
      <formula>0</formula>
    </cfRule>
  </conditionalFormatting>
  <conditionalFormatting sqref="H857">
    <cfRule type="cellIs" dxfId="49" priority="47" operator="lessThan">
      <formula>0</formula>
    </cfRule>
  </conditionalFormatting>
  <conditionalFormatting sqref="H858">
    <cfRule type="cellIs" dxfId="48" priority="46" operator="lessThan">
      <formula>0</formula>
    </cfRule>
  </conditionalFormatting>
  <conditionalFormatting sqref="H859">
    <cfRule type="cellIs" dxfId="47" priority="45" operator="lessThan">
      <formula>0</formula>
    </cfRule>
  </conditionalFormatting>
  <conditionalFormatting sqref="H860">
    <cfRule type="cellIs" dxfId="46" priority="44" operator="lessThan">
      <formula>0</formula>
    </cfRule>
  </conditionalFormatting>
  <conditionalFormatting sqref="H861">
    <cfRule type="cellIs" dxfId="45" priority="43" operator="lessThan">
      <formula>0</formula>
    </cfRule>
  </conditionalFormatting>
  <conditionalFormatting sqref="H863">
    <cfRule type="cellIs" dxfId="44" priority="42" operator="lessThan">
      <formula>0</formula>
    </cfRule>
  </conditionalFormatting>
  <conditionalFormatting sqref="H864">
    <cfRule type="cellIs" dxfId="43" priority="41" operator="lessThan">
      <formula>0</formula>
    </cfRule>
  </conditionalFormatting>
  <conditionalFormatting sqref="H865">
    <cfRule type="cellIs" dxfId="42" priority="40" operator="lessThan">
      <formula>0</formula>
    </cfRule>
  </conditionalFormatting>
  <conditionalFormatting sqref="H866">
    <cfRule type="cellIs" dxfId="41" priority="39" operator="lessThan">
      <formula>0</formula>
    </cfRule>
  </conditionalFormatting>
  <conditionalFormatting sqref="H867">
    <cfRule type="cellIs" dxfId="40" priority="38" operator="lessThan">
      <formula>0</formula>
    </cfRule>
  </conditionalFormatting>
  <conditionalFormatting sqref="H869">
    <cfRule type="cellIs" dxfId="39" priority="37" operator="lessThan">
      <formula>0</formula>
    </cfRule>
  </conditionalFormatting>
  <conditionalFormatting sqref="H870">
    <cfRule type="cellIs" dxfId="38" priority="36" operator="lessThan">
      <formula>0</formula>
    </cfRule>
  </conditionalFormatting>
  <conditionalFormatting sqref="H871">
    <cfRule type="cellIs" dxfId="37" priority="35" operator="lessThan">
      <formula>0</formula>
    </cfRule>
  </conditionalFormatting>
  <conditionalFormatting sqref="H872">
    <cfRule type="cellIs" dxfId="36" priority="34" operator="lessThan">
      <formula>0</formula>
    </cfRule>
  </conditionalFormatting>
  <conditionalFormatting sqref="H874">
    <cfRule type="cellIs" dxfId="35" priority="33" operator="lessThan">
      <formula>0</formula>
    </cfRule>
  </conditionalFormatting>
  <conditionalFormatting sqref="H875">
    <cfRule type="cellIs" dxfId="34" priority="32" operator="lessThan">
      <formula>0</formula>
    </cfRule>
  </conditionalFormatting>
  <conditionalFormatting sqref="H876">
    <cfRule type="cellIs" dxfId="33" priority="31" operator="lessThan">
      <formula>0</formula>
    </cfRule>
  </conditionalFormatting>
  <conditionalFormatting sqref="H878:H882">
    <cfRule type="cellIs" dxfId="32" priority="30" operator="lessThan">
      <formula>0</formula>
    </cfRule>
  </conditionalFormatting>
  <conditionalFormatting sqref="H884">
    <cfRule type="cellIs" dxfId="31" priority="29" operator="lessThan">
      <formula>0</formula>
    </cfRule>
  </conditionalFormatting>
  <conditionalFormatting sqref="H885">
    <cfRule type="cellIs" dxfId="30" priority="28" operator="lessThan">
      <formula>0</formula>
    </cfRule>
  </conditionalFormatting>
  <conditionalFormatting sqref="H886">
    <cfRule type="cellIs" dxfId="29" priority="27" operator="lessThan">
      <formula>0</formula>
    </cfRule>
  </conditionalFormatting>
  <conditionalFormatting sqref="H888:H893">
    <cfRule type="cellIs" dxfId="28" priority="26" operator="lessThan">
      <formula>0</formula>
    </cfRule>
  </conditionalFormatting>
  <conditionalFormatting sqref="H895:H909">
    <cfRule type="cellIs" dxfId="27" priority="25" operator="lessThan">
      <formula>0</formula>
    </cfRule>
  </conditionalFormatting>
  <conditionalFormatting sqref="H911:H914">
    <cfRule type="cellIs" dxfId="26" priority="24" operator="lessThan">
      <formula>0</formula>
    </cfRule>
  </conditionalFormatting>
  <conditionalFormatting sqref="H916:H921">
    <cfRule type="cellIs" dxfId="25" priority="23" operator="lessThan">
      <formula>0</formula>
    </cfRule>
  </conditionalFormatting>
  <conditionalFormatting sqref="H923">
    <cfRule type="cellIs" dxfId="24" priority="22" operator="lessThan">
      <formula>0</formula>
    </cfRule>
  </conditionalFormatting>
  <conditionalFormatting sqref="H925">
    <cfRule type="cellIs" dxfId="23" priority="21" operator="lessThan">
      <formula>0</formula>
    </cfRule>
  </conditionalFormatting>
  <conditionalFormatting sqref="H927">
    <cfRule type="cellIs" dxfId="22" priority="20" operator="lessThan">
      <formula>0</formula>
    </cfRule>
  </conditionalFormatting>
  <conditionalFormatting sqref="H929:H930">
    <cfRule type="cellIs" dxfId="21" priority="19" operator="lessThan">
      <formula>0</formula>
    </cfRule>
  </conditionalFormatting>
  <conditionalFormatting sqref="H932">
    <cfRule type="cellIs" dxfId="20" priority="18" operator="lessThan">
      <formula>0</formula>
    </cfRule>
  </conditionalFormatting>
  <conditionalFormatting sqref="H933">
    <cfRule type="cellIs" dxfId="19" priority="17" operator="lessThan">
      <formula>0</formula>
    </cfRule>
  </conditionalFormatting>
  <conditionalFormatting sqref="H935">
    <cfRule type="cellIs" dxfId="18" priority="16" operator="lessThan">
      <formula>0</formula>
    </cfRule>
  </conditionalFormatting>
  <conditionalFormatting sqref="H937">
    <cfRule type="cellIs" dxfId="17" priority="15" operator="lessThan">
      <formula>0</formula>
    </cfRule>
  </conditionalFormatting>
  <conditionalFormatting sqref="H938">
    <cfRule type="cellIs" dxfId="16" priority="14" operator="lessThan">
      <formula>0</formula>
    </cfRule>
  </conditionalFormatting>
  <conditionalFormatting sqref="H939">
    <cfRule type="cellIs" dxfId="15" priority="13" operator="lessThan">
      <formula>0</formula>
    </cfRule>
  </conditionalFormatting>
  <conditionalFormatting sqref="H940">
    <cfRule type="cellIs" dxfId="14" priority="12" operator="lessThan">
      <formula>0</formula>
    </cfRule>
  </conditionalFormatting>
  <conditionalFormatting sqref="H941">
    <cfRule type="cellIs" dxfId="13" priority="11" operator="lessThan">
      <formula>0</formula>
    </cfRule>
  </conditionalFormatting>
  <conditionalFormatting sqref="H942">
    <cfRule type="cellIs" dxfId="12" priority="10" operator="lessThan">
      <formula>0</formula>
    </cfRule>
  </conditionalFormatting>
  <conditionalFormatting sqref="H944">
    <cfRule type="cellIs" dxfId="11" priority="9" operator="lessThan">
      <formula>0</formula>
    </cfRule>
  </conditionalFormatting>
  <conditionalFormatting sqref="H945">
    <cfRule type="cellIs" dxfId="10" priority="8" operator="lessThan">
      <formula>0</formula>
    </cfRule>
  </conditionalFormatting>
  <conditionalFormatting sqref="H946:H948">
    <cfRule type="cellIs" dxfId="9" priority="7" operator="lessThan">
      <formula>0</formula>
    </cfRule>
  </conditionalFormatting>
  <conditionalFormatting sqref="H950">
    <cfRule type="cellIs" dxfId="8" priority="6" operator="lessThan">
      <formula>0</formula>
    </cfRule>
  </conditionalFormatting>
  <conditionalFormatting sqref="H951">
    <cfRule type="cellIs" dxfId="7" priority="5" operator="lessThan">
      <formula>0</formula>
    </cfRule>
  </conditionalFormatting>
  <conditionalFormatting sqref="H953">
    <cfRule type="cellIs" dxfId="6" priority="4" operator="lessThan">
      <formula>0</formula>
    </cfRule>
  </conditionalFormatting>
  <conditionalFormatting sqref="H955">
    <cfRule type="cellIs" dxfId="5" priority="3" operator="lessThan">
      <formula>0</formula>
    </cfRule>
  </conditionalFormatting>
  <conditionalFormatting sqref="H957">
    <cfRule type="cellIs" dxfId="4" priority="2" operator="lessThan">
      <formula>0</formula>
    </cfRule>
  </conditionalFormatting>
  <conditionalFormatting sqref="H958">
    <cfRule type="cellIs" dxfId="3" priority="1" operator="lessThan">
      <formula>0</formula>
    </cfRule>
  </conditionalFormatting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6"/>
  <sheetViews>
    <sheetView zoomScale="90" zoomScaleNormal="90" workbookViewId="0">
      <pane ySplit="1" topLeftCell="A2" activePane="bottomLeft" state="frozen"/>
      <selection pane="bottomLeft" activeCell="C26" sqref="C26"/>
    </sheetView>
  </sheetViews>
  <sheetFormatPr defaultRowHeight="14.25" x14ac:dyDescent="0.25"/>
  <cols>
    <col min="1" max="1" width="34.7109375" style="3" customWidth="1"/>
    <col min="2" max="2" width="20.140625" style="1" customWidth="1"/>
    <col min="3" max="3" width="28.42578125" style="1" customWidth="1"/>
    <col min="4" max="4" width="40" style="1" customWidth="1"/>
    <col min="5" max="5" width="14.42578125" style="2" customWidth="1"/>
    <col min="6" max="6" width="14.5703125" style="2" customWidth="1"/>
    <col min="7" max="7" width="14" style="1" customWidth="1"/>
    <col min="8" max="8" width="17.5703125" style="1" bestFit="1" customWidth="1"/>
    <col min="9" max="16384" width="9.140625" style="1"/>
  </cols>
  <sheetData>
    <row r="1" spans="1:7" s="9" customFormat="1" ht="27.75" customHeight="1" x14ac:dyDescent="0.25">
      <c r="A1" s="10" t="s">
        <v>0</v>
      </c>
      <c r="B1" s="10" t="s">
        <v>2</v>
      </c>
      <c r="C1" s="10" t="s">
        <v>8</v>
      </c>
      <c r="D1" s="10" t="s">
        <v>3</v>
      </c>
      <c r="E1" s="11" t="s">
        <v>4</v>
      </c>
      <c r="F1" s="11" t="s">
        <v>5</v>
      </c>
      <c r="G1" s="10" t="s">
        <v>6</v>
      </c>
    </row>
    <row r="2" spans="1:7" x14ac:dyDescent="0.25">
      <c r="A2" s="3" t="s">
        <v>7</v>
      </c>
      <c r="B2" s="1" t="s">
        <v>9</v>
      </c>
      <c r="G2" s="19"/>
    </row>
    <row r="3" spans="1:7" x14ac:dyDescent="0.25">
      <c r="D3" s="1" t="s">
        <v>10</v>
      </c>
      <c r="E3" s="2">
        <v>10</v>
      </c>
      <c r="G3" s="19">
        <f t="shared" ref="G3:G64" si="0">E3-F3</f>
        <v>10</v>
      </c>
    </row>
    <row r="4" spans="1:7" x14ac:dyDescent="0.25">
      <c r="D4" s="1" t="s">
        <v>11</v>
      </c>
      <c r="E4" s="2">
        <v>15</v>
      </c>
      <c r="G4" s="19">
        <f t="shared" si="0"/>
        <v>15</v>
      </c>
    </row>
    <row r="5" spans="1:7" x14ac:dyDescent="0.25">
      <c r="D5" s="1" t="s">
        <v>12</v>
      </c>
      <c r="E5" s="2">
        <v>30</v>
      </c>
      <c r="G5" s="19">
        <f t="shared" si="0"/>
        <v>30</v>
      </c>
    </row>
    <row r="6" spans="1:7" x14ac:dyDescent="0.25">
      <c r="D6" s="1" t="s">
        <v>13</v>
      </c>
      <c r="E6" s="2">
        <v>20</v>
      </c>
      <c r="G6" s="19">
        <f t="shared" si="0"/>
        <v>20</v>
      </c>
    </row>
    <row r="7" spans="1:7" x14ac:dyDescent="0.25">
      <c r="B7" s="1" t="s">
        <v>14</v>
      </c>
      <c r="G7" s="19"/>
    </row>
    <row r="8" spans="1:7" x14ac:dyDescent="0.25">
      <c r="D8" s="1" t="s">
        <v>15</v>
      </c>
      <c r="E8" s="2">
        <v>15</v>
      </c>
      <c r="G8" s="19">
        <f t="shared" si="0"/>
        <v>15</v>
      </c>
    </row>
    <row r="9" spans="1:7" x14ac:dyDescent="0.25">
      <c r="D9" s="1" t="s">
        <v>16</v>
      </c>
      <c r="E9" s="2">
        <v>10</v>
      </c>
      <c r="G9" s="19">
        <f t="shared" si="0"/>
        <v>10</v>
      </c>
    </row>
    <row r="10" spans="1:7" x14ac:dyDescent="0.25">
      <c r="D10" s="1" t="s">
        <v>17</v>
      </c>
      <c r="E10" s="2">
        <v>10</v>
      </c>
      <c r="G10" s="19">
        <f t="shared" si="0"/>
        <v>10</v>
      </c>
    </row>
    <row r="11" spans="1:7" x14ac:dyDescent="0.25">
      <c r="D11" s="1" t="s">
        <v>18</v>
      </c>
      <c r="E11" s="2">
        <v>5</v>
      </c>
      <c r="G11" s="19">
        <f t="shared" si="0"/>
        <v>5</v>
      </c>
    </row>
    <row r="12" spans="1:7" x14ac:dyDescent="0.25">
      <c r="D12" s="1" t="s">
        <v>19</v>
      </c>
      <c r="E12" s="2">
        <v>5</v>
      </c>
      <c r="G12" s="19">
        <f t="shared" si="0"/>
        <v>5</v>
      </c>
    </row>
    <row r="13" spans="1:7" x14ac:dyDescent="0.25">
      <c r="A13" s="3" t="s">
        <v>20</v>
      </c>
      <c r="B13" s="1" t="s">
        <v>9</v>
      </c>
      <c r="G13" s="19"/>
    </row>
    <row r="14" spans="1:7" x14ac:dyDescent="0.25">
      <c r="D14" s="1" t="s">
        <v>21</v>
      </c>
      <c r="E14" s="2">
        <v>10</v>
      </c>
      <c r="G14" s="19">
        <f t="shared" si="0"/>
        <v>10</v>
      </c>
    </row>
    <row r="15" spans="1:7" x14ac:dyDescent="0.25">
      <c r="D15" s="1" t="s">
        <v>22</v>
      </c>
      <c r="E15" s="2">
        <v>15</v>
      </c>
      <c r="G15" s="19">
        <f t="shared" si="0"/>
        <v>15</v>
      </c>
    </row>
    <row r="16" spans="1:7" x14ac:dyDescent="0.25">
      <c r="A16" s="3" t="s">
        <v>23</v>
      </c>
      <c r="B16" s="1" t="s">
        <v>9</v>
      </c>
      <c r="D16" s="1" t="s">
        <v>24</v>
      </c>
      <c r="E16" s="2">
        <v>400</v>
      </c>
      <c r="F16" s="2">
        <f>120+187+93</f>
        <v>400</v>
      </c>
      <c r="G16" s="19">
        <f t="shared" si="0"/>
        <v>0</v>
      </c>
    </row>
    <row r="17" spans="2:8" x14ac:dyDescent="0.25">
      <c r="D17" s="1" t="s">
        <v>25</v>
      </c>
      <c r="E17" s="2">
        <v>40</v>
      </c>
      <c r="F17" s="2">
        <f>25.67+9.47</f>
        <v>35.14</v>
      </c>
      <c r="G17" s="19">
        <f t="shared" si="0"/>
        <v>4.8599999999999994</v>
      </c>
    </row>
    <row r="18" spans="2:8" x14ac:dyDescent="0.25">
      <c r="D18" s="1" t="s">
        <v>21</v>
      </c>
      <c r="E18" s="2">
        <v>20</v>
      </c>
      <c r="G18" s="19">
        <f t="shared" si="0"/>
        <v>20</v>
      </c>
    </row>
    <row r="19" spans="2:8" x14ac:dyDescent="0.25">
      <c r="D19" s="1" t="s">
        <v>26</v>
      </c>
      <c r="E19" s="2">
        <v>140</v>
      </c>
      <c r="F19" s="2">
        <f>21.53</f>
        <v>21.53</v>
      </c>
      <c r="G19" s="19">
        <f t="shared" si="0"/>
        <v>118.47</v>
      </c>
    </row>
    <row r="20" spans="2:8" x14ac:dyDescent="0.25">
      <c r="B20" s="47" t="s">
        <v>28</v>
      </c>
      <c r="C20" s="1" t="s">
        <v>27</v>
      </c>
      <c r="D20" s="1" t="s">
        <v>40</v>
      </c>
      <c r="E20" s="2">
        <v>4000</v>
      </c>
      <c r="F20" s="2">
        <v>4000</v>
      </c>
      <c r="G20" s="19">
        <f t="shared" si="0"/>
        <v>0</v>
      </c>
    </row>
    <row r="21" spans="2:8" x14ac:dyDescent="0.25">
      <c r="D21" s="1" t="s">
        <v>29</v>
      </c>
      <c r="E21" s="2">
        <v>2500</v>
      </c>
      <c r="F21" s="2">
        <f>49.87+628+66.28+202.37+84.87+30.33</f>
        <v>1061.7199999999998</v>
      </c>
      <c r="G21" s="19">
        <f t="shared" si="0"/>
        <v>1438.2800000000002</v>
      </c>
    </row>
    <row r="22" spans="2:8" x14ac:dyDescent="0.25">
      <c r="D22" s="1" t="s">
        <v>30</v>
      </c>
      <c r="E22" s="2">
        <v>1200</v>
      </c>
      <c r="F22" s="2">
        <f>21.96+28.91+701.36+127.85+30.93+7.99</f>
        <v>919</v>
      </c>
      <c r="G22" s="19">
        <f t="shared" si="0"/>
        <v>281</v>
      </c>
    </row>
    <row r="23" spans="2:8" x14ac:dyDescent="0.25">
      <c r="D23" s="1" t="s">
        <v>31</v>
      </c>
      <c r="E23" s="2">
        <v>300</v>
      </c>
      <c r="F23" s="2">
        <f>17.94+9.97+92.79+17.94</f>
        <v>138.64000000000001</v>
      </c>
      <c r="G23" s="19">
        <f t="shared" si="0"/>
        <v>161.35999999999999</v>
      </c>
    </row>
    <row r="24" spans="2:8" x14ac:dyDescent="0.25">
      <c r="D24" s="1" t="s">
        <v>32</v>
      </c>
      <c r="E24" s="2">
        <v>600</v>
      </c>
      <c r="F24" s="2">
        <f>13.49+22.46+19.99+4.99+15+27.99+14+241.51+39.36+16.25+8.48+16.95</f>
        <v>440.47</v>
      </c>
      <c r="G24" s="19">
        <f t="shared" si="0"/>
        <v>159.52999999999997</v>
      </c>
    </row>
    <row r="25" spans="2:8" x14ac:dyDescent="0.25">
      <c r="D25" s="1" t="s">
        <v>33</v>
      </c>
      <c r="E25" s="2">
        <v>1300</v>
      </c>
      <c r="F25" s="2">
        <f>185.97+920+13.73+41.88</f>
        <v>1161.5800000000002</v>
      </c>
      <c r="G25" s="19">
        <f t="shared" si="0"/>
        <v>138.41999999999985</v>
      </c>
    </row>
    <row r="26" spans="2:8" x14ac:dyDescent="0.25">
      <c r="D26" s="1" t="s">
        <v>34</v>
      </c>
      <c r="E26" s="2">
        <v>300</v>
      </c>
      <c r="F26" s="2">
        <f>128.85+91.57</f>
        <v>220.42</v>
      </c>
      <c r="G26" s="19">
        <f t="shared" si="0"/>
        <v>79.580000000000013</v>
      </c>
    </row>
    <row r="27" spans="2:8" x14ac:dyDescent="0.25">
      <c r="D27" s="1" t="s">
        <v>35</v>
      </c>
      <c r="E27" s="2">
        <v>250</v>
      </c>
      <c r="F27" s="2">
        <f>40+36.15</f>
        <v>76.150000000000006</v>
      </c>
      <c r="G27" s="19">
        <f t="shared" si="0"/>
        <v>173.85</v>
      </c>
    </row>
    <row r="28" spans="2:8" x14ac:dyDescent="0.25">
      <c r="D28" s="1" t="s">
        <v>36</v>
      </c>
      <c r="E28" s="2">
        <v>1035</v>
      </c>
      <c r="F28" s="2">
        <v>1035</v>
      </c>
      <c r="G28" s="19">
        <f t="shared" si="0"/>
        <v>0</v>
      </c>
    </row>
    <row r="29" spans="2:8" x14ac:dyDescent="0.25">
      <c r="D29" s="1" t="s">
        <v>37</v>
      </c>
      <c r="E29" s="2">
        <v>500</v>
      </c>
      <c r="F29" s="2">
        <f>25.44+58.43+58.94</f>
        <v>142.81</v>
      </c>
      <c r="G29" s="19">
        <f t="shared" si="0"/>
        <v>357.19</v>
      </c>
    </row>
    <row r="30" spans="2:8" x14ac:dyDescent="0.25">
      <c r="D30" s="1" t="s">
        <v>38</v>
      </c>
      <c r="E30" s="2">
        <v>75</v>
      </c>
      <c r="F30" s="2">
        <v>35.22</v>
      </c>
      <c r="G30" s="19">
        <f t="shared" si="0"/>
        <v>39.78</v>
      </c>
    </row>
    <row r="31" spans="2:8" x14ac:dyDescent="0.25">
      <c r="D31" s="1" t="s">
        <v>39</v>
      </c>
      <c r="E31" s="2">
        <v>4000</v>
      </c>
      <c r="G31" s="19">
        <f t="shared" si="0"/>
        <v>4000</v>
      </c>
      <c r="H31" s="46">
        <f>SUM(G20:G31)</f>
        <v>6828.99</v>
      </c>
    </row>
    <row r="32" spans="2:8" x14ac:dyDescent="0.25">
      <c r="C32" s="1" t="s">
        <v>41</v>
      </c>
      <c r="D32" s="1" t="s">
        <v>42</v>
      </c>
      <c r="E32" s="2">
        <v>600</v>
      </c>
      <c r="F32" s="2">
        <f>29.93+41.77+55.93+16.96+115.5</f>
        <v>260.09000000000003</v>
      </c>
      <c r="G32" s="19">
        <f t="shared" si="0"/>
        <v>339.90999999999997</v>
      </c>
    </row>
    <row r="33" spans="1:8" x14ac:dyDescent="0.25">
      <c r="D33" s="1" t="s">
        <v>43</v>
      </c>
      <c r="E33" s="2">
        <v>200</v>
      </c>
      <c r="G33" s="19">
        <f t="shared" si="0"/>
        <v>200</v>
      </c>
    </row>
    <row r="34" spans="1:8" x14ac:dyDescent="0.25">
      <c r="B34" s="1" t="s">
        <v>36</v>
      </c>
      <c r="C34" s="1" t="s">
        <v>44</v>
      </c>
      <c r="D34" s="1" t="s">
        <v>45</v>
      </c>
      <c r="E34" s="2">
        <v>60</v>
      </c>
      <c r="G34" s="19">
        <f t="shared" si="0"/>
        <v>60</v>
      </c>
    </row>
    <row r="35" spans="1:8" x14ac:dyDescent="0.25">
      <c r="D35" s="1" t="s">
        <v>46</v>
      </c>
      <c r="E35" s="2">
        <v>150</v>
      </c>
      <c r="G35" s="19">
        <f t="shared" si="0"/>
        <v>150</v>
      </c>
    </row>
    <row r="36" spans="1:8" x14ac:dyDescent="0.25">
      <c r="D36" s="1" t="s">
        <v>47</v>
      </c>
      <c r="E36" s="2">
        <v>150</v>
      </c>
      <c r="G36" s="19">
        <f t="shared" si="0"/>
        <v>150</v>
      </c>
    </row>
    <row r="37" spans="1:8" x14ac:dyDescent="0.25">
      <c r="D37" s="1" t="s">
        <v>48</v>
      </c>
      <c r="E37" s="2">
        <v>3500</v>
      </c>
      <c r="G37" s="19">
        <f t="shared" si="0"/>
        <v>3500</v>
      </c>
    </row>
    <row r="38" spans="1:8" x14ac:dyDescent="0.25">
      <c r="A38" s="3" t="s">
        <v>49</v>
      </c>
      <c r="B38" s="1" t="s">
        <v>9</v>
      </c>
      <c r="D38" s="1" t="s">
        <v>25</v>
      </c>
      <c r="E38" s="2">
        <v>10</v>
      </c>
      <c r="G38" s="19">
        <f t="shared" si="0"/>
        <v>10</v>
      </c>
    </row>
    <row r="39" spans="1:8" x14ac:dyDescent="0.25">
      <c r="D39" s="1" t="s">
        <v>50</v>
      </c>
      <c r="E39" s="2">
        <v>5</v>
      </c>
      <c r="G39" s="19">
        <f t="shared" si="0"/>
        <v>5</v>
      </c>
    </row>
    <row r="40" spans="1:8" x14ac:dyDescent="0.25">
      <c r="B40" s="47" t="s">
        <v>51</v>
      </c>
      <c r="C40" s="1" t="s">
        <v>52</v>
      </c>
      <c r="D40" s="1" t="s">
        <v>53</v>
      </c>
      <c r="E40" s="2">
        <v>10</v>
      </c>
      <c r="G40" s="19">
        <f t="shared" si="0"/>
        <v>10</v>
      </c>
    </row>
    <row r="41" spans="1:8" x14ac:dyDescent="0.25">
      <c r="D41" s="1" t="s">
        <v>54</v>
      </c>
      <c r="E41" s="2">
        <v>5</v>
      </c>
      <c r="G41" s="19">
        <f t="shared" si="0"/>
        <v>5</v>
      </c>
    </row>
    <row r="42" spans="1:8" x14ac:dyDescent="0.25">
      <c r="D42" s="1" t="s">
        <v>55</v>
      </c>
      <c r="E42" s="2">
        <v>5</v>
      </c>
      <c r="G42" s="19">
        <f t="shared" si="0"/>
        <v>5</v>
      </c>
      <c r="H42" s="46">
        <f>SUM(G40:G42)</f>
        <v>20</v>
      </c>
    </row>
    <row r="43" spans="1:8" x14ac:dyDescent="0.25">
      <c r="A43" s="3" t="s">
        <v>56</v>
      </c>
      <c r="B43" s="1" t="s">
        <v>9</v>
      </c>
      <c r="D43" s="1" t="s">
        <v>22</v>
      </c>
      <c r="E43" s="2">
        <v>25</v>
      </c>
      <c r="G43" s="19">
        <f t="shared" si="0"/>
        <v>25</v>
      </c>
    </row>
    <row r="44" spans="1:8" x14ac:dyDescent="0.25">
      <c r="A44" s="3" t="s">
        <v>57</v>
      </c>
      <c r="B44" s="1" t="s">
        <v>36</v>
      </c>
      <c r="C44" s="1" t="s">
        <v>58</v>
      </c>
      <c r="D44" s="1" t="s">
        <v>59</v>
      </c>
      <c r="E44" s="2">
        <v>60</v>
      </c>
      <c r="G44" s="19">
        <f t="shared" si="0"/>
        <v>60</v>
      </c>
    </row>
    <row r="45" spans="1:8" x14ac:dyDescent="0.25">
      <c r="D45" s="1" t="s">
        <v>60</v>
      </c>
      <c r="E45" s="2">
        <v>12</v>
      </c>
      <c r="G45" s="19">
        <f t="shared" si="0"/>
        <v>12</v>
      </c>
    </row>
    <row r="46" spans="1:8" x14ac:dyDescent="0.25">
      <c r="A46" s="3" t="s">
        <v>61</v>
      </c>
      <c r="B46" s="1" t="s">
        <v>51</v>
      </c>
      <c r="C46" s="1" t="s">
        <v>62</v>
      </c>
      <c r="D46" s="1" t="s">
        <v>63</v>
      </c>
      <c r="E46" s="2">
        <v>0</v>
      </c>
      <c r="F46" s="2">
        <v>0</v>
      </c>
      <c r="G46" s="19">
        <f t="shared" si="0"/>
        <v>0</v>
      </c>
    </row>
    <row r="47" spans="1:8" x14ac:dyDescent="0.25">
      <c r="A47" s="3" t="s">
        <v>64</v>
      </c>
      <c r="B47" s="1" t="s">
        <v>65</v>
      </c>
      <c r="D47" s="1" t="s">
        <v>66</v>
      </c>
      <c r="E47" s="2">
        <v>50</v>
      </c>
      <c r="F47" s="2">
        <v>50</v>
      </c>
      <c r="G47" s="19">
        <f t="shared" si="0"/>
        <v>0</v>
      </c>
    </row>
    <row r="48" spans="1:8" x14ac:dyDescent="0.25">
      <c r="B48" s="1" t="s">
        <v>14</v>
      </c>
      <c r="D48" s="1" t="s">
        <v>67</v>
      </c>
      <c r="E48" s="2">
        <v>14.99</v>
      </c>
      <c r="G48" s="19">
        <f t="shared" si="0"/>
        <v>14.99</v>
      </c>
    </row>
    <row r="49" spans="1:8" x14ac:dyDescent="0.25">
      <c r="D49" s="1" t="s">
        <v>13</v>
      </c>
      <c r="E49" s="2">
        <v>7.49</v>
      </c>
      <c r="G49" s="19">
        <f t="shared" si="0"/>
        <v>7.49</v>
      </c>
    </row>
    <row r="50" spans="1:8" x14ac:dyDescent="0.25">
      <c r="D50" s="1" t="s">
        <v>68</v>
      </c>
      <c r="E50" s="2">
        <v>4.99</v>
      </c>
      <c r="G50" s="19">
        <f t="shared" si="0"/>
        <v>4.99</v>
      </c>
    </row>
    <row r="51" spans="1:8" x14ac:dyDescent="0.25">
      <c r="D51" s="1" t="s">
        <v>69</v>
      </c>
      <c r="E51" s="2">
        <v>5.556</v>
      </c>
      <c r="G51" s="19">
        <f t="shared" si="0"/>
        <v>5.556</v>
      </c>
    </row>
    <row r="52" spans="1:8" x14ac:dyDescent="0.25">
      <c r="D52" s="1" t="s">
        <v>70</v>
      </c>
      <c r="E52" s="2">
        <v>3</v>
      </c>
      <c r="G52" s="19">
        <f t="shared" si="0"/>
        <v>3</v>
      </c>
    </row>
    <row r="53" spans="1:8" x14ac:dyDescent="0.25">
      <c r="D53" s="1" t="s">
        <v>71</v>
      </c>
      <c r="E53" s="2">
        <v>7.93</v>
      </c>
      <c r="G53" s="19">
        <f t="shared" si="0"/>
        <v>7.93</v>
      </c>
    </row>
    <row r="54" spans="1:8" x14ac:dyDescent="0.25">
      <c r="A54" s="3" t="s">
        <v>72</v>
      </c>
      <c r="B54" s="1" t="s">
        <v>9</v>
      </c>
      <c r="D54" s="1" t="s">
        <v>73</v>
      </c>
      <c r="E54" s="2">
        <v>50</v>
      </c>
      <c r="G54" s="19">
        <f t="shared" si="0"/>
        <v>50</v>
      </c>
    </row>
    <row r="55" spans="1:8" x14ac:dyDescent="0.25">
      <c r="B55" s="1" t="s">
        <v>65</v>
      </c>
      <c r="D55" s="1" t="s">
        <v>74</v>
      </c>
      <c r="E55" s="2">
        <v>300</v>
      </c>
      <c r="G55" s="19">
        <f t="shared" si="0"/>
        <v>300</v>
      </c>
    </row>
    <row r="56" spans="1:8" x14ac:dyDescent="0.25">
      <c r="D56" s="1" t="s">
        <v>75</v>
      </c>
      <c r="E56" s="2">
        <v>400</v>
      </c>
      <c r="G56" s="19">
        <f t="shared" si="0"/>
        <v>400</v>
      </c>
    </row>
    <row r="57" spans="1:8" x14ac:dyDescent="0.25">
      <c r="B57" s="47" t="s">
        <v>51</v>
      </c>
      <c r="C57" s="1" t="s">
        <v>76</v>
      </c>
      <c r="D57" s="1" t="s">
        <v>77</v>
      </c>
      <c r="E57" s="2">
        <v>40</v>
      </c>
      <c r="F57" s="2">
        <v>40</v>
      </c>
      <c r="G57" s="19">
        <f t="shared" si="0"/>
        <v>0</v>
      </c>
    </row>
    <row r="58" spans="1:8" x14ac:dyDescent="0.25">
      <c r="D58" s="1" t="s">
        <v>78</v>
      </c>
      <c r="E58" s="2">
        <v>25</v>
      </c>
      <c r="F58" s="2">
        <v>17.61</v>
      </c>
      <c r="G58" s="19">
        <f t="shared" si="0"/>
        <v>7.3900000000000006</v>
      </c>
    </row>
    <row r="59" spans="1:8" x14ac:dyDescent="0.25">
      <c r="D59" s="1" t="s">
        <v>79</v>
      </c>
      <c r="E59" s="2">
        <v>10</v>
      </c>
      <c r="G59" s="19">
        <f t="shared" si="0"/>
        <v>10</v>
      </c>
    </row>
    <row r="60" spans="1:8" x14ac:dyDescent="0.25">
      <c r="B60" s="47" t="s">
        <v>51</v>
      </c>
      <c r="C60" s="1" t="s">
        <v>80</v>
      </c>
      <c r="D60" s="1" t="s">
        <v>81</v>
      </c>
      <c r="E60" s="2">
        <v>100</v>
      </c>
      <c r="G60" s="19">
        <f t="shared" si="0"/>
        <v>100</v>
      </c>
    </row>
    <row r="61" spans="1:8" x14ac:dyDescent="0.25">
      <c r="D61" s="1" t="s">
        <v>82</v>
      </c>
      <c r="E61" s="2">
        <v>20</v>
      </c>
      <c r="G61" s="19">
        <f t="shared" si="0"/>
        <v>20</v>
      </c>
      <c r="H61" s="46">
        <f>SUM(G57:G61)</f>
        <v>137.38999999999999</v>
      </c>
    </row>
    <row r="62" spans="1:8" x14ac:dyDescent="0.25">
      <c r="A62" s="3" t="s">
        <v>83</v>
      </c>
      <c r="B62" s="1" t="s">
        <v>14</v>
      </c>
      <c r="D62" s="1" t="s">
        <v>84</v>
      </c>
      <c r="E62" s="2">
        <v>10</v>
      </c>
      <c r="G62" s="19">
        <f t="shared" si="0"/>
        <v>10</v>
      </c>
    </row>
    <row r="63" spans="1:8" x14ac:dyDescent="0.25">
      <c r="D63" s="1" t="s">
        <v>85</v>
      </c>
      <c r="E63" s="2">
        <v>5</v>
      </c>
      <c r="G63" s="19">
        <f t="shared" si="0"/>
        <v>5</v>
      </c>
    </row>
    <row r="64" spans="1:8" x14ac:dyDescent="0.25">
      <c r="D64" s="1" t="s">
        <v>17</v>
      </c>
      <c r="E64" s="2">
        <v>5</v>
      </c>
      <c r="G64" s="19">
        <f t="shared" si="0"/>
        <v>5</v>
      </c>
    </row>
    <row r="65" spans="1:8" x14ac:dyDescent="0.25">
      <c r="D65" s="1" t="s">
        <v>86</v>
      </c>
      <c r="E65" s="2">
        <v>5</v>
      </c>
      <c r="G65" s="19">
        <f t="shared" ref="G65:G129" si="1">E65-F65</f>
        <v>5</v>
      </c>
    </row>
    <row r="66" spans="1:8" x14ac:dyDescent="0.25">
      <c r="D66" s="1" t="s">
        <v>87</v>
      </c>
      <c r="E66" s="2">
        <v>15</v>
      </c>
      <c r="G66" s="19">
        <f t="shared" si="1"/>
        <v>15</v>
      </c>
    </row>
    <row r="67" spans="1:8" x14ac:dyDescent="0.25">
      <c r="D67" s="1" t="s">
        <v>18</v>
      </c>
      <c r="E67" s="2">
        <v>7</v>
      </c>
      <c r="G67" s="19">
        <f t="shared" si="1"/>
        <v>7</v>
      </c>
    </row>
    <row r="68" spans="1:8" x14ac:dyDescent="0.25">
      <c r="A68" s="3" t="s">
        <v>88</v>
      </c>
      <c r="B68" s="1" t="s">
        <v>9</v>
      </c>
      <c r="D68" s="1" t="s">
        <v>89</v>
      </c>
      <c r="E68" s="2">
        <v>340</v>
      </c>
      <c r="F68" s="2">
        <v>338</v>
      </c>
      <c r="G68" s="19">
        <f t="shared" si="1"/>
        <v>2</v>
      </c>
    </row>
    <row r="69" spans="1:8" x14ac:dyDescent="0.25">
      <c r="B69" s="47" t="s">
        <v>51</v>
      </c>
      <c r="C69" s="1" t="s">
        <v>90</v>
      </c>
      <c r="D69" s="1" t="s">
        <v>91</v>
      </c>
      <c r="E69" s="2">
        <v>800</v>
      </c>
      <c r="F69" s="2">
        <v>683</v>
      </c>
      <c r="G69" s="19">
        <f t="shared" si="1"/>
        <v>117</v>
      </c>
    </row>
    <row r="70" spans="1:8" x14ac:dyDescent="0.25">
      <c r="D70" s="1" t="s">
        <v>92</v>
      </c>
      <c r="E70" s="2">
        <v>1300</v>
      </c>
      <c r="F70" s="2">
        <v>1300</v>
      </c>
      <c r="G70" s="19">
        <f t="shared" si="1"/>
        <v>0</v>
      </c>
    </row>
    <row r="71" spans="1:8" x14ac:dyDescent="0.25">
      <c r="D71" s="1" t="s">
        <v>93</v>
      </c>
      <c r="E71" s="2">
        <v>150</v>
      </c>
      <c r="F71" s="2">
        <v>150</v>
      </c>
      <c r="G71" s="19">
        <f t="shared" si="1"/>
        <v>0</v>
      </c>
    </row>
    <row r="72" spans="1:8" x14ac:dyDescent="0.25">
      <c r="B72" s="47" t="s">
        <v>51</v>
      </c>
      <c r="C72" s="1" t="s">
        <v>94</v>
      </c>
      <c r="D72" s="1" t="s">
        <v>95</v>
      </c>
      <c r="E72" s="2">
        <v>950</v>
      </c>
      <c r="F72" s="2">
        <f>850+100</f>
        <v>950</v>
      </c>
      <c r="G72" s="19">
        <f t="shared" si="1"/>
        <v>0</v>
      </c>
    </row>
    <row r="73" spans="1:8" x14ac:dyDescent="0.25">
      <c r="D73" s="1" t="s">
        <v>96</v>
      </c>
      <c r="E73" s="2">
        <v>150</v>
      </c>
      <c r="F73" s="2">
        <v>116.23</v>
      </c>
      <c r="G73" s="19">
        <f t="shared" si="1"/>
        <v>33.769999999999996</v>
      </c>
    </row>
    <row r="74" spans="1:8" x14ac:dyDescent="0.25">
      <c r="D74" s="1" t="s">
        <v>97</v>
      </c>
      <c r="E74" s="2">
        <v>500</v>
      </c>
      <c r="F74" s="2">
        <v>500</v>
      </c>
      <c r="G74" s="19">
        <f t="shared" si="1"/>
        <v>0</v>
      </c>
    </row>
    <row r="75" spans="1:8" x14ac:dyDescent="0.25">
      <c r="D75" s="1" t="s">
        <v>548</v>
      </c>
      <c r="E75" s="2">
        <v>95.16</v>
      </c>
      <c r="F75" s="2">
        <v>95</v>
      </c>
      <c r="G75" s="19">
        <f t="shared" ref="G75" si="2">E75-F75</f>
        <v>0.15999999999999659</v>
      </c>
    </row>
    <row r="76" spans="1:8" x14ac:dyDescent="0.25">
      <c r="B76" s="47" t="s">
        <v>51</v>
      </c>
      <c r="C76" s="1" t="s">
        <v>98</v>
      </c>
      <c r="D76" s="1" t="s">
        <v>99</v>
      </c>
      <c r="E76" s="2">
        <v>800</v>
      </c>
      <c r="F76" s="2">
        <v>800</v>
      </c>
      <c r="G76" s="19">
        <f t="shared" si="1"/>
        <v>0</v>
      </c>
    </row>
    <row r="77" spans="1:8" x14ac:dyDescent="0.25">
      <c r="B77" s="47" t="s">
        <v>51</v>
      </c>
      <c r="C77" s="1" t="s">
        <v>100</v>
      </c>
      <c r="D77" s="1" t="s">
        <v>101</v>
      </c>
      <c r="E77" s="2">
        <v>1250</v>
      </c>
      <c r="F77" s="2">
        <v>1250</v>
      </c>
      <c r="G77" s="19">
        <f t="shared" si="1"/>
        <v>0</v>
      </c>
      <c r="H77" s="46">
        <f>SUM(G69:G77)</f>
        <v>150.92999999999998</v>
      </c>
    </row>
    <row r="78" spans="1:8" x14ac:dyDescent="0.25">
      <c r="B78" s="1" t="s">
        <v>36</v>
      </c>
      <c r="C78" s="1" t="s">
        <v>102</v>
      </c>
      <c r="D78" s="1" t="s">
        <v>103</v>
      </c>
      <c r="E78" s="2">
        <v>1600</v>
      </c>
      <c r="F78" s="2">
        <f>500+600+500</f>
        <v>1600</v>
      </c>
      <c r="G78" s="19">
        <f t="shared" si="1"/>
        <v>0</v>
      </c>
    </row>
    <row r="79" spans="1:8" x14ac:dyDescent="0.25">
      <c r="B79" s="1" t="s">
        <v>36</v>
      </c>
      <c r="C79" s="1" t="s">
        <v>104</v>
      </c>
      <c r="D79" s="1" t="s">
        <v>105</v>
      </c>
      <c r="E79" s="2">
        <v>370</v>
      </c>
      <c r="F79" s="2">
        <v>279</v>
      </c>
      <c r="G79" s="19">
        <f t="shared" si="1"/>
        <v>91</v>
      </c>
    </row>
    <row r="80" spans="1:8" x14ac:dyDescent="0.25">
      <c r="D80" s="1" t="s">
        <v>106</v>
      </c>
      <c r="E80" s="2">
        <v>300</v>
      </c>
      <c r="G80" s="19">
        <f t="shared" si="1"/>
        <v>300</v>
      </c>
    </row>
    <row r="81" spans="1:8" x14ac:dyDescent="0.25">
      <c r="D81" s="1" t="s">
        <v>107</v>
      </c>
      <c r="E81" s="2">
        <v>80</v>
      </c>
      <c r="G81" s="19">
        <f t="shared" si="1"/>
        <v>80</v>
      </c>
    </row>
    <row r="82" spans="1:8" x14ac:dyDescent="0.25">
      <c r="D82" s="1" t="s">
        <v>108</v>
      </c>
      <c r="E82" s="2">
        <v>218</v>
      </c>
      <c r="G82" s="19">
        <f t="shared" si="1"/>
        <v>218</v>
      </c>
    </row>
    <row r="83" spans="1:8" x14ac:dyDescent="0.25">
      <c r="D83" s="1" t="s">
        <v>109</v>
      </c>
      <c r="E83" s="2">
        <v>84</v>
      </c>
      <c r="G83" s="19">
        <f t="shared" si="1"/>
        <v>84</v>
      </c>
    </row>
    <row r="84" spans="1:8" x14ac:dyDescent="0.25">
      <c r="A84" s="3" t="s">
        <v>110</v>
      </c>
      <c r="B84" s="1" t="s">
        <v>9</v>
      </c>
      <c r="D84" s="1" t="s">
        <v>25</v>
      </c>
      <c r="E84" s="2">
        <v>15</v>
      </c>
      <c r="G84" s="19">
        <f t="shared" si="1"/>
        <v>15</v>
      </c>
    </row>
    <row r="85" spans="1:8" x14ac:dyDescent="0.25">
      <c r="B85" s="1" t="s">
        <v>36</v>
      </c>
      <c r="C85" s="1" t="s">
        <v>111</v>
      </c>
      <c r="D85" s="1" t="s">
        <v>112</v>
      </c>
      <c r="E85" s="2">
        <v>600</v>
      </c>
      <c r="G85" s="19">
        <f t="shared" si="1"/>
        <v>600</v>
      </c>
    </row>
    <row r="86" spans="1:8" x14ac:dyDescent="0.25">
      <c r="D86" s="1" t="s">
        <v>113</v>
      </c>
      <c r="E86" s="2">
        <v>200</v>
      </c>
      <c r="G86" s="19">
        <f t="shared" si="1"/>
        <v>200</v>
      </c>
    </row>
    <row r="87" spans="1:8" x14ac:dyDescent="0.25">
      <c r="B87" s="1" t="s">
        <v>36</v>
      </c>
      <c r="C87" s="1" t="s">
        <v>114</v>
      </c>
      <c r="D87" s="1" t="s">
        <v>114</v>
      </c>
      <c r="E87" s="2">
        <v>350</v>
      </c>
      <c r="G87" s="19">
        <f t="shared" si="1"/>
        <v>350</v>
      </c>
    </row>
    <row r="88" spans="1:8" x14ac:dyDescent="0.25">
      <c r="A88" s="3" t="s">
        <v>115</v>
      </c>
      <c r="B88" s="1" t="s">
        <v>9</v>
      </c>
      <c r="D88" s="1" t="s">
        <v>25</v>
      </c>
      <c r="E88" s="2">
        <v>10</v>
      </c>
      <c r="G88" s="19">
        <f t="shared" si="1"/>
        <v>10</v>
      </c>
    </row>
    <row r="89" spans="1:8" x14ac:dyDescent="0.25">
      <c r="B89" s="1" t="s">
        <v>65</v>
      </c>
      <c r="D89" s="1" t="s">
        <v>116</v>
      </c>
      <c r="E89" s="2">
        <v>600</v>
      </c>
      <c r="G89" s="19">
        <f t="shared" si="1"/>
        <v>600</v>
      </c>
    </row>
    <row r="90" spans="1:8" x14ac:dyDescent="0.25">
      <c r="A90" s="3" t="s">
        <v>117</v>
      </c>
      <c r="B90" s="47" t="s">
        <v>51</v>
      </c>
      <c r="C90" s="1" t="s">
        <v>118</v>
      </c>
      <c r="D90" s="1" t="s">
        <v>119</v>
      </c>
      <c r="E90" s="2">
        <v>500</v>
      </c>
      <c r="G90" s="19">
        <f t="shared" si="1"/>
        <v>500</v>
      </c>
      <c r="H90" s="46">
        <f>G90</f>
        <v>500</v>
      </c>
    </row>
    <row r="91" spans="1:8" x14ac:dyDescent="0.25">
      <c r="A91" s="3" t="s">
        <v>120</v>
      </c>
      <c r="B91" s="1" t="s">
        <v>9</v>
      </c>
      <c r="D91" s="1" t="s">
        <v>21</v>
      </c>
      <c r="E91" s="2">
        <v>150</v>
      </c>
      <c r="G91" s="19">
        <f t="shared" si="1"/>
        <v>150</v>
      </c>
    </row>
    <row r="92" spans="1:8" x14ac:dyDescent="0.25">
      <c r="D92" s="1" t="s">
        <v>73</v>
      </c>
      <c r="E92" s="2">
        <v>100</v>
      </c>
      <c r="G92" s="19">
        <f t="shared" si="1"/>
        <v>100</v>
      </c>
    </row>
    <row r="93" spans="1:8" x14ac:dyDescent="0.25">
      <c r="D93" s="1" t="s">
        <v>121</v>
      </c>
      <c r="E93" s="2">
        <v>25</v>
      </c>
      <c r="G93" s="19">
        <f t="shared" si="1"/>
        <v>25</v>
      </c>
    </row>
    <row r="94" spans="1:8" x14ac:dyDescent="0.25">
      <c r="A94" s="3" t="s">
        <v>122</v>
      </c>
      <c r="B94" s="1" t="s">
        <v>9</v>
      </c>
      <c r="D94" s="1" t="s">
        <v>123</v>
      </c>
      <c r="E94" s="2">
        <v>200</v>
      </c>
      <c r="F94" s="2">
        <f>107.11-80</f>
        <v>27.11</v>
      </c>
      <c r="G94" s="19">
        <f t="shared" si="1"/>
        <v>172.89</v>
      </c>
    </row>
    <row r="95" spans="1:8" x14ac:dyDescent="0.25">
      <c r="D95" s="1" t="s">
        <v>125</v>
      </c>
      <c r="E95" s="2">
        <v>175</v>
      </c>
      <c r="G95" s="19">
        <f t="shared" si="1"/>
        <v>175</v>
      </c>
      <c r="H95" s="45" t="s">
        <v>959</v>
      </c>
    </row>
    <row r="96" spans="1:8" x14ac:dyDescent="0.25">
      <c r="D96" s="1" t="s">
        <v>124</v>
      </c>
      <c r="E96" s="2">
        <v>200</v>
      </c>
      <c r="G96" s="19">
        <f t="shared" si="1"/>
        <v>200</v>
      </c>
      <c r="H96" s="45" t="s">
        <v>959</v>
      </c>
    </row>
    <row r="97" spans="2:8" x14ac:dyDescent="0.25">
      <c r="D97" s="1" t="s">
        <v>126</v>
      </c>
      <c r="E97" s="2">
        <v>80</v>
      </c>
      <c r="F97" s="2">
        <v>80</v>
      </c>
      <c r="G97" s="19">
        <f t="shared" si="1"/>
        <v>0</v>
      </c>
    </row>
    <row r="98" spans="2:8" x14ac:dyDescent="0.25">
      <c r="B98" s="1" t="s">
        <v>65</v>
      </c>
      <c r="D98" s="1" t="s">
        <v>128</v>
      </c>
      <c r="E98" s="2">
        <v>800</v>
      </c>
      <c r="F98" s="2">
        <v>780</v>
      </c>
      <c r="G98" s="19">
        <f t="shared" si="1"/>
        <v>20</v>
      </c>
    </row>
    <row r="99" spans="2:8" x14ac:dyDescent="0.25">
      <c r="D99" s="1" t="s">
        <v>129</v>
      </c>
      <c r="E99" s="2">
        <v>50</v>
      </c>
      <c r="F99" s="2">
        <v>45</v>
      </c>
      <c r="G99" s="19">
        <f t="shared" si="1"/>
        <v>5</v>
      </c>
    </row>
    <row r="100" spans="2:8" x14ac:dyDescent="0.25">
      <c r="B100" s="1" t="s">
        <v>127</v>
      </c>
      <c r="D100" s="1" t="s">
        <v>130</v>
      </c>
      <c r="E100" s="2">
        <v>288</v>
      </c>
      <c r="G100" s="19">
        <f t="shared" si="1"/>
        <v>288</v>
      </c>
    </row>
    <row r="101" spans="2:8" x14ac:dyDescent="0.25">
      <c r="D101" s="1" t="s">
        <v>131</v>
      </c>
      <c r="E101" s="2">
        <v>80</v>
      </c>
      <c r="G101" s="19">
        <f t="shared" si="1"/>
        <v>80</v>
      </c>
    </row>
    <row r="102" spans="2:8" x14ac:dyDescent="0.25">
      <c r="B102" s="1" t="s">
        <v>14</v>
      </c>
      <c r="D102" s="1" t="s">
        <v>132</v>
      </c>
      <c r="E102" s="2">
        <v>360</v>
      </c>
      <c r="F102" s="2">
        <f>89.33</f>
        <v>89.33</v>
      </c>
      <c r="G102" s="19">
        <f t="shared" si="1"/>
        <v>270.67</v>
      </c>
    </row>
    <row r="103" spans="2:8" x14ac:dyDescent="0.25">
      <c r="D103" s="1" t="s">
        <v>133</v>
      </c>
      <c r="E103" s="2">
        <v>300</v>
      </c>
      <c r="F103" s="2">
        <f>17.49+50.25+165.1</f>
        <v>232.83999999999997</v>
      </c>
      <c r="G103" s="19">
        <f t="shared" si="1"/>
        <v>67.160000000000025</v>
      </c>
    </row>
    <row r="104" spans="2:8" x14ac:dyDescent="0.25">
      <c r="D104" s="1" t="s">
        <v>134</v>
      </c>
      <c r="E104" s="2">
        <v>250</v>
      </c>
      <c r="F104" s="2">
        <f>8+26+18.62+33.91+14.28+29.34+53.42</f>
        <v>183.57</v>
      </c>
      <c r="G104" s="19">
        <f t="shared" si="1"/>
        <v>66.430000000000007</v>
      </c>
    </row>
    <row r="105" spans="2:8" x14ac:dyDescent="0.25">
      <c r="B105" s="47" t="s">
        <v>51</v>
      </c>
      <c r="C105" s="1" t="s">
        <v>135</v>
      </c>
      <c r="D105" s="1" t="s">
        <v>136</v>
      </c>
      <c r="E105" s="2">
        <v>1700</v>
      </c>
      <c r="G105" s="19">
        <f t="shared" si="1"/>
        <v>1700</v>
      </c>
    </row>
    <row r="106" spans="2:8" x14ac:dyDescent="0.25">
      <c r="D106" s="1" t="s">
        <v>137</v>
      </c>
      <c r="E106" s="2">
        <v>1500</v>
      </c>
      <c r="F106" s="2">
        <v>1149</v>
      </c>
      <c r="G106" s="19">
        <f t="shared" si="1"/>
        <v>351</v>
      </c>
    </row>
    <row r="107" spans="2:8" x14ac:dyDescent="0.25">
      <c r="D107" s="1" t="s">
        <v>138</v>
      </c>
      <c r="E107" s="2">
        <v>464</v>
      </c>
      <c r="G107" s="19">
        <f t="shared" si="1"/>
        <v>464</v>
      </c>
    </row>
    <row r="108" spans="2:8" x14ac:dyDescent="0.25">
      <c r="D108" s="1" t="s">
        <v>139</v>
      </c>
      <c r="E108" s="2">
        <v>350</v>
      </c>
      <c r="G108" s="19">
        <f t="shared" si="1"/>
        <v>350</v>
      </c>
    </row>
    <row r="109" spans="2:8" x14ac:dyDescent="0.25">
      <c r="D109" s="1" t="s">
        <v>140</v>
      </c>
      <c r="E109" s="2">
        <v>300</v>
      </c>
      <c r="F109" s="2">
        <v>181.92</v>
      </c>
      <c r="G109" s="19">
        <f t="shared" si="1"/>
        <v>118.08000000000001</v>
      </c>
    </row>
    <row r="110" spans="2:8" x14ac:dyDescent="0.25">
      <c r="D110" s="1" t="s">
        <v>141</v>
      </c>
      <c r="E110" s="2">
        <v>50</v>
      </c>
      <c r="G110" s="19">
        <f t="shared" si="1"/>
        <v>50</v>
      </c>
    </row>
    <row r="111" spans="2:8" x14ac:dyDescent="0.25">
      <c r="D111" s="1" t="s">
        <v>142</v>
      </c>
      <c r="E111" s="2">
        <v>-2300</v>
      </c>
      <c r="G111" s="19">
        <f t="shared" si="1"/>
        <v>-2300</v>
      </c>
    </row>
    <row r="112" spans="2:8" x14ac:dyDescent="0.25">
      <c r="B112" s="47" t="s">
        <v>51</v>
      </c>
      <c r="C112" s="1" t="s">
        <v>143</v>
      </c>
      <c r="D112" s="1" t="s">
        <v>144</v>
      </c>
      <c r="E112" s="2">
        <v>12000</v>
      </c>
      <c r="F112" s="2">
        <f>4000+4000+2500</f>
        <v>10500</v>
      </c>
      <c r="G112" s="31">
        <f t="shared" si="1"/>
        <v>1500</v>
      </c>
      <c r="H112" s="1" t="s">
        <v>681</v>
      </c>
    </row>
    <row r="113" spans="1:9" x14ac:dyDescent="0.25">
      <c r="D113" s="1" t="s">
        <v>145</v>
      </c>
      <c r="E113" s="2">
        <v>600</v>
      </c>
      <c r="G113" s="19">
        <f t="shared" si="1"/>
        <v>600</v>
      </c>
    </row>
    <row r="114" spans="1:9" x14ac:dyDescent="0.25">
      <c r="D114" s="1" t="s">
        <v>138</v>
      </c>
      <c r="E114" s="2">
        <v>464</v>
      </c>
      <c r="G114" s="19">
        <f t="shared" si="1"/>
        <v>464</v>
      </c>
    </row>
    <row r="115" spans="1:9" x14ac:dyDescent="0.25">
      <c r="D115" s="1" t="s">
        <v>146</v>
      </c>
      <c r="E115" s="2">
        <v>200</v>
      </c>
      <c r="F115" s="2">
        <f>39.98+101.45</f>
        <v>141.43</v>
      </c>
      <c r="G115" s="19">
        <f t="shared" si="1"/>
        <v>58.569999999999993</v>
      </c>
    </row>
    <row r="116" spans="1:9" x14ac:dyDescent="0.25">
      <c r="D116" s="1" t="s">
        <v>142</v>
      </c>
      <c r="E116" s="2">
        <v>-3964</v>
      </c>
      <c r="G116" s="19">
        <f t="shared" si="1"/>
        <v>-3964</v>
      </c>
      <c r="H116" s="46">
        <f>SUM(G105:G106)+G109+G110+G115</f>
        <v>2277.65</v>
      </c>
      <c r="I116" s="4" t="s">
        <v>901</v>
      </c>
    </row>
    <row r="117" spans="1:9" x14ac:dyDescent="0.25">
      <c r="B117" s="1" t="s">
        <v>36</v>
      </c>
      <c r="C117" s="1" t="s">
        <v>147</v>
      </c>
      <c r="D117" s="1" t="s">
        <v>148</v>
      </c>
      <c r="E117" s="2">
        <v>22100</v>
      </c>
      <c r="F117" s="2">
        <f>969.25+476+996+476+996+476+476+996+476+996+476+996+476+476+978+478+478+998+998+478+478+478+978+478+998+478+978+478+1153</f>
        <v>20662.25</v>
      </c>
      <c r="G117" s="19">
        <f t="shared" si="1"/>
        <v>1437.75</v>
      </c>
    </row>
    <row r="118" spans="1:9" x14ac:dyDescent="0.25">
      <c r="D118" s="1" t="s">
        <v>141</v>
      </c>
      <c r="E118" s="2">
        <v>650</v>
      </c>
      <c r="G118" s="19">
        <f t="shared" si="1"/>
        <v>650</v>
      </c>
    </row>
    <row r="119" spans="1:9" x14ac:dyDescent="0.25">
      <c r="B119" s="1" t="s">
        <v>36</v>
      </c>
      <c r="C119" s="1" t="s">
        <v>149</v>
      </c>
      <c r="D119" s="1" t="s">
        <v>150</v>
      </c>
      <c r="E119" s="2">
        <v>30000</v>
      </c>
      <c r="F119" s="2">
        <f>27.84+257.74+1850+1395+2080+750+110.86+630+1000+426.95+121.63+100+100+240.53+353.72+1709+753.8+1470+2265+100+1404+270+77.09+2420+1440+111.74+600+885.8+3000+150+200+100+100+100</f>
        <v>26600.7</v>
      </c>
      <c r="G119" s="19">
        <f t="shared" si="1"/>
        <v>3399.2999999999993</v>
      </c>
    </row>
    <row r="120" spans="1:9" x14ac:dyDescent="0.25">
      <c r="B120" s="1" t="s">
        <v>36</v>
      </c>
      <c r="C120" s="1" t="s">
        <v>151</v>
      </c>
      <c r="D120" s="1" t="s">
        <v>152</v>
      </c>
      <c r="E120" s="2">
        <v>19800</v>
      </c>
      <c r="F120" s="2">
        <f>1126.22+959.2+630.5+1901.9+959.2+2226.4+1485+560+1113.2+968+560+674.3+1180.06+1945.9+92+480+1072.5</f>
        <v>17934.379999999997</v>
      </c>
      <c r="G120" s="19">
        <f t="shared" si="1"/>
        <v>1865.6200000000026</v>
      </c>
    </row>
    <row r="121" spans="1:9" x14ac:dyDescent="0.25">
      <c r="D121" s="1" t="s">
        <v>153</v>
      </c>
      <c r="E121" s="2">
        <v>9900</v>
      </c>
      <c r="F121" s="2">
        <f>420+280+500+420+674.3+480+660+480</f>
        <v>3914.3</v>
      </c>
      <c r="G121" s="19">
        <f t="shared" si="1"/>
        <v>5985.7</v>
      </c>
    </row>
    <row r="122" spans="1:9" x14ac:dyDescent="0.25">
      <c r="D122" s="1" t="s">
        <v>154</v>
      </c>
      <c r="E122" s="2">
        <v>750</v>
      </c>
      <c r="G122" s="19">
        <f t="shared" si="1"/>
        <v>750</v>
      </c>
    </row>
    <row r="123" spans="1:9" x14ac:dyDescent="0.25">
      <c r="B123" s="1" t="s">
        <v>36</v>
      </c>
      <c r="C123" s="1" t="s">
        <v>155</v>
      </c>
      <c r="D123" s="1" t="s">
        <v>156</v>
      </c>
      <c r="E123" s="2">
        <v>3200</v>
      </c>
      <c r="G123" s="19">
        <f t="shared" si="1"/>
        <v>3200</v>
      </c>
    </row>
    <row r="124" spans="1:9" x14ac:dyDescent="0.25">
      <c r="D124" s="1" t="s">
        <v>157</v>
      </c>
      <c r="E124" s="2">
        <v>3000</v>
      </c>
      <c r="G124" s="19">
        <f t="shared" si="1"/>
        <v>3000</v>
      </c>
    </row>
    <row r="125" spans="1:9" x14ac:dyDescent="0.25">
      <c r="D125" s="1" t="s">
        <v>158</v>
      </c>
      <c r="E125" s="2">
        <v>700</v>
      </c>
      <c r="G125" s="19">
        <f t="shared" si="1"/>
        <v>700</v>
      </c>
    </row>
    <row r="126" spans="1:9" x14ac:dyDescent="0.25">
      <c r="D126" s="1" t="s">
        <v>159</v>
      </c>
      <c r="E126" s="2">
        <v>600</v>
      </c>
      <c r="F126" s="2">
        <v>200.55</v>
      </c>
      <c r="G126" s="19">
        <f t="shared" si="1"/>
        <v>399.45</v>
      </c>
    </row>
    <row r="127" spans="1:9" x14ac:dyDescent="0.25">
      <c r="D127" s="1" t="s">
        <v>160</v>
      </c>
      <c r="E127" s="2">
        <v>100</v>
      </c>
      <c r="G127" s="19">
        <f t="shared" si="1"/>
        <v>100</v>
      </c>
    </row>
    <row r="128" spans="1:9" x14ac:dyDescent="0.25">
      <c r="A128" s="3" t="s">
        <v>922</v>
      </c>
      <c r="B128" s="1" t="s">
        <v>9</v>
      </c>
      <c r="D128" s="1" t="s">
        <v>161</v>
      </c>
      <c r="E128" s="2">
        <v>850</v>
      </c>
      <c r="F128" s="2">
        <v>850</v>
      </c>
      <c r="G128" s="19">
        <f t="shared" si="1"/>
        <v>0</v>
      </c>
    </row>
    <row r="129" spans="1:8" x14ac:dyDescent="0.25">
      <c r="D129" s="1" t="s">
        <v>162</v>
      </c>
      <c r="E129" s="2">
        <v>600</v>
      </c>
      <c r="G129" s="19">
        <f t="shared" si="1"/>
        <v>600</v>
      </c>
      <c r="H129" s="45" t="s">
        <v>959</v>
      </c>
    </row>
    <row r="130" spans="1:8" x14ac:dyDescent="0.25">
      <c r="D130" s="1" t="s">
        <v>163</v>
      </c>
      <c r="E130" s="2">
        <v>60</v>
      </c>
      <c r="G130" s="19">
        <f t="shared" ref="G130:G148" si="3">E130-F130</f>
        <v>60</v>
      </c>
      <c r="H130" s="45" t="s">
        <v>959</v>
      </c>
    </row>
    <row r="131" spans="1:8" x14ac:dyDescent="0.25">
      <c r="D131" s="1" t="s">
        <v>164</v>
      </c>
      <c r="E131" s="2">
        <v>60</v>
      </c>
      <c r="G131" s="19">
        <f t="shared" si="3"/>
        <v>60</v>
      </c>
      <c r="H131" s="45" t="s">
        <v>959</v>
      </c>
    </row>
    <row r="132" spans="1:8" x14ac:dyDescent="0.25">
      <c r="B132" s="1" t="s">
        <v>36</v>
      </c>
      <c r="C132" s="1" t="s">
        <v>165</v>
      </c>
      <c r="D132" s="1" t="s">
        <v>166</v>
      </c>
      <c r="E132" s="2">
        <v>42000</v>
      </c>
      <c r="F132" s="2">
        <f>2500+600+1000+2400+450+2500+100+2214+981+3000+800+655+3500+100+400+450+3100+1000+5000+3800+750+3500+100+3000+100</f>
        <v>42000</v>
      </c>
      <c r="G132" s="19">
        <f t="shared" si="3"/>
        <v>0</v>
      </c>
    </row>
    <row r="133" spans="1:8" x14ac:dyDescent="0.25">
      <c r="D133" s="1" t="s">
        <v>167</v>
      </c>
      <c r="E133" s="2">
        <v>1200</v>
      </c>
      <c r="F133" s="2">
        <f>47.04+25.98+16.34+56.95+33.93+92.5</f>
        <v>272.74</v>
      </c>
      <c r="G133" s="19">
        <f t="shared" si="3"/>
        <v>927.26</v>
      </c>
    </row>
    <row r="134" spans="1:8" x14ac:dyDescent="0.25">
      <c r="D134" s="1" t="s">
        <v>168</v>
      </c>
      <c r="E134" s="2">
        <v>1200</v>
      </c>
      <c r="F134" s="2">
        <f>100+100+100+100+100+100+100+100+100+100+100+100+100+100+100+100+100</f>
        <v>1700</v>
      </c>
      <c r="G134" s="19">
        <f t="shared" si="3"/>
        <v>-500</v>
      </c>
    </row>
    <row r="135" spans="1:8" x14ac:dyDescent="0.25">
      <c r="D135" s="1" t="s">
        <v>169</v>
      </c>
      <c r="E135" s="2">
        <v>400</v>
      </c>
      <c r="G135" s="19">
        <f t="shared" si="3"/>
        <v>400</v>
      </c>
    </row>
    <row r="136" spans="1:8" x14ac:dyDescent="0.25">
      <c r="D136" s="1" t="s">
        <v>170</v>
      </c>
      <c r="E136" s="2">
        <v>250</v>
      </c>
      <c r="G136" s="19">
        <f t="shared" si="3"/>
        <v>250</v>
      </c>
    </row>
    <row r="137" spans="1:8" x14ac:dyDescent="0.25">
      <c r="C137" s="1" t="s">
        <v>171</v>
      </c>
      <c r="D137" s="1" t="s">
        <v>172</v>
      </c>
      <c r="E137" s="2">
        <v>980</v>
      </c>
      <c r="F137" s="2">
        <f>35+35+35+35+35+35+35+35+35+35+35+35+35+35+35+35+35+35</f>
        <v>630</v>
      </c>
      <c r="G137" s="19">
        <f t="shared" si="3"/>
        <v>350</v>
      </c>
    </row>
    <row r="138" spans="1:8" x14ac:dyDescent="0.25">
      <c r="D138" s="1" t="s">
        <v>173</v>
      </c>
      <c r="E138" s="2">
        <v>700</v>
      </c>
      <c r="F138" s="2">
        <f>100+100+100+100+100+100+100+100+100+100</f>
        <v>1000</v>
      </c>
      <c r="G138" s="19">
        <f>E138-F138</f>
        <v>-300</v>
      </c>
    </row>
    <row r="139" spans="1:8" x14ac:dyDescent="0.25">
      <c r="C139" s="1" t="s">
        <v>174</v>
      </c>
      <c r="D139" s="1" t="s">
        <v>175</v>
      </c>
      <c r="E139" s="2">
        <v>5250</v>
      </c>
      <c r="F139" s="2">
        <f>150+100+50+200+100+100+250+200+150+150+200+100+250+250+250+250+200+150+200+250</f>
        <v>3550</v>
      </c>
      <c r="G139" s="19">
        <f t="shared" si="3"/>
        <v>1700</v>
      </c>
    </row>
    <row r="140" spans="1:8" x14ac:dyDescent="0.25">
      <c r="D140" s="1" t="s">
        <v>176</v>
      </c>
      <c r="E140" s="2">
        <v>700</v>
      </c>
      <c r="F140" s="2">
        <f>100</f>
        <v>100</v>
      </c>
      <c r="G140" s="19">
        <f t="shared" si="3"/>
        <v>600</v>
      </c>
    </row>
    <row r="141" spans="1:8" x14ac:dyDescent="0.25">
      <c r="A141" s="3" t="s">
        <v>177</v>
      </c>
      <c r="B141" s="1" t="s">
        <v>9</v>
      </c>
      <c r="D141" s="1" t="s">
        <v>178</v>
      </c>
      <c r="E141" s="2">
        <v>15</v>
      </c>
      <c r="G141" s="19">
        <f t="shared" si="3"/>
        <v>15</v>
      </c>
    </row>
    <row r="142" spans="1:8" x14ac:dyDescent="0.25">
      <c r="A142" s="3" t="s">
        <v>179</v>
      </c>
      <c r="B142" s="1" t="s">
        <v>9</v>
      </c>
      <c r="D142" s="1" t="s">
        <v>178</v>
      </c>
      <c r="E142" s="2">
        <v>15</v>
      </c>
      <c r="G142" s="19">
        <f t="shared" si="3"/>
        <v>15</v>
      </c>
    </row>
    <row r="143" spans="1:8" x14ac:dyDescent="0.25">
      <c r="A143" s="3" t="s">
        <v>180</v>
      </c>
      <c r="B143" s="1" t="s">
        <v>9</v>
      </c>
      <c r="D143" s="1" t="s">
        <v>22</v>
      </c>
      <c r="E143" s="2">
        <v>10</v>
      </c>
      <c r="G143" s="19">
        <f t="shared" si="3"/>
        <v>10</v>
      </c>
    </row>
    <row r="144" spans="1:8" x14ac:dyDescent="0.25">
      <c r="D144" s="1" t="s">
        <v>181</v>
      </c>
      <c r="E144" s="2">
        <v>6</v>
      </c>
      <c r="G144" s="19">
        <f t="shared" si="3"/>
        <v>6</v>
      </c>
    </row>
    <row r="145" spans="1:8" x14ac:dyDescent="0.25">
      <c r="A145" s="3" t="s">
        <v>182</v>
      </c>
      <c r="B145" s="1" t="s">
        <v>36</v>
      </c>
      <c r="C145" s="1" t="s">
        <v>183</v>
      </c>
      <c r="D145" s="1" t="s">
        <v>184</v>
      </c>
      <c r="E145" s="2">
        <v>300</v>
      </c>
      <c r="G145" s="19">
        <f t="shared" si="3"/>
        <v>300</v>
      </c>
    </row>
    <row r="146" spans="1:8" x14ac:dyDescent="0.25">
      <c r="A146" s="3" t="s">
        <v>185</v>
      </c>
      <c r="B146" s="1" t="s">
        <v>36</v>
      </c>
      <c r="C146" s="1" t="s">
        <v>151</v>
      </c>
      <c r="D146" s="1" t="s">
        <v>186</v>
      </c>
      <c r="E146" s="2">
        <v>1115</v>
      </c>
      <c r="F146" s="2">
        <v>1102.2</v>
      </c>
      <c r="G146" s="19">
        <f t="shared" si="3"/>
        <v>12.799999999999955</v>
      </c>
    </row>
    <row r="147" spans="1:8" x14ac:dyDescent="0.25">
      <c r="A147" s="3" t="s">
        <v>187</v>
      </c>
      <c r="B147" s="47" t="s">
        <v>51</v>
      </c>
      <c r="C147" s="1" t="s">
        <v>189</v>
      </c>
      <c r="D147" s="1" t="s">
        <v>188</v>
      </c>
      <c r="E147" s="2">
        <v>45</v>
      </c>
      <c r="G147" s="19">
        <f t="shared" si="3"/>
        <v>45</v>
      </c>
    </row>
    <row r="148" spans="1:8" x14ac:dyDescent="0.25">
      <c r="D148" s="1" t="s">
        <v>190</v>
      </c>
      <c r="E148" s="2">
        <v>40</v>
      </c>
      <c r="G148" s="19">
        <f t="shared" si="3"/>
        <v>40</v>
      </c>
    </row>
    <row r="149" spans="1:8" x14ac:dyDescent="0.25">
      <c r="D149" s="1" t="s">
        <v>191</v>
      </c>
      <c r="E149" s="2">
        <v>40</v>
      </c>
      <c r="F149" s="2">
        <f>17.94+11.75</f>
        <v>29.69</v>
      </c>
      <c r="G149" s="19">
        <f>E149-F149</f>
        <v>10.309999999999999</v>
      </c>
      <c r="H149" s="46">
        <f>SUM(G147:G149)</f>
        <v>95.31</v>
      </c>
    </row>
    <row r="150" spans="1:8" x14ac:dyDescent="0.25">
      <c r="B150" s="1" t="s">
        <v>36</v>
      </c>
      <c r="C150" s="1" t="s">
        <v>192</v>
      </c>
      <c r="D150" s="1" t="s">
        <v>193</v>
      </c>
      <c r="E150" s="2">
        <v>225</v>
      </c>
      <c r="G150" s="19">
        <f t="shared" ref="G150:G280" si="4">E150-F150</f>
        <v>225</v>
      </c>
    </row>
    <row r="151" spans="1:8" x14ac:dyDescent="0.25">
      <c r="D151" s="1" t="s">
        <v>194</v>
      </c>
      <c r="E151" s="2">
        <v>200</v>
      </c>
      <c r="G151" s="19">
        <f t="shared" si="4"/>
        <v>200</v>
      </c>
    </row>
    <row r="152" spans="1:8" x14ac:dyDescent="0.25">
      <c r="D152" s="1" t="s">
        <v>195</v>
      </c>
      <c r="E152" s="2">
        <v>200</v>
      </c>
      <c r="F152" s="2">
        <f>21.97+18.76+46</f>
        <v>86.73</v>
      </c>
      <c r="G152" s="19">
        <f t="shared" si="4"/>
        <v>113.27</v>
      </c>
    </row>
    <row r="153" spans="1:8" x14ac:dyDescent="0.25">
      <c r="B153" s="1" t="s">
        <v>36</v>
      </c>
      <c r="C153" s="1" t="s">
        <v>196</v>
      </c>
      <c r="D153" s="1" t="s">
        <v>197</v>
      </c>
      <c r="E153" s="2">
        <v>450</v>
      </c>
      <c r="F153" s="2">
        <v>0</v>
      </c>
      <c r="G153" s="19">
        <f t="shared" si="4"/>
        <v>450</v>
      </c>
    </row>
    <row r="154" spans="1:8" x14ac:dyDescent="0.25">
      <c r="D154" s="1" t="s">
        <v>198</v>
      </c>
      <c r="E154" s="2">
        <v>150</v>
      </c>
      <c r="G154" s="19">
        <f t="shared" si="4"/>
        <v>150</v>
      </c>
    </row>
    <row r="155" spans="1:8" x14ac:dyDescent="0.25">
      <c r="D155" s="1" t="s">
        <v>199</v>
      </c>
      <c r="E155" s="2">
        <v>150</v>
      </c>
      <c r="G155" s="19">
        <f t="shared" si="4"/>
        <v>150</v>
      </c>
    </row>
    <row r="156" spans="1:8" x14ac:dyDescent="0.25">
      <c r="A156" s="3" t="s">
        <v>200</v>
      </c>
      <c r="B156" s="1" t="s">
        <v>9</v>
      </c>
      <c r="D156" s="1" t="s">
        <v>73</v>
      </c>
      <c r="E156" s="2">
        <v>15</v>
      </c>
      <c r="G156" s="19">
        <f t="shared" si="4"/>
        <v>15</v>
      </c>
    </row>
    <row r="157" spans="1:8" x14ac:dyDescent="0.25">
      <c r="A157" s="3" t="s">
        <v>585</v>
      </c>
      <c r="B157" s="1" t="s">
        <v>9</v>
      </c>
      <c r="D157" s="1" t="s">
        <v>181</v>
      </c>
      <c r="E157" s="2">
        <v>10</v>
      </c>
      <c r="G157" s="19">
        <f t="shared" si="4"/>
        <v>10</v>
      </c>
    </row>
    <row r="158" spans="1:8" x14ac:dyDescent="0.25">
      <c r="D158" s="1" t="s">
        <v>586</v>
      </c>
      <c r="E158" s="2">
        <v>20</v>
      </c>
      <c r="F158" s="2">
        <f>3.69+3.69</f>
        <v>7.38</v>
      </c>
      <c r="G158" s="19">
        <f t="shared" si="4"/>
        <v>12.620000000000001</v>
      </c>
    </row>
    <row r="159" spans="1:8" x14ac:dyDescent="0.25">
      <c r="B159" s="1" t="s">
        <v>14</v>
      </c>
      <c r="D159" s="1" t="s">
        <v>587</v>
      </c>
      <c r="E159" s="2">
        <v>10</v>
      </c>
      <c r="G159" s="19">
        <f t="shared" si="4"/>
        <v>10</v>
      </c>
    </row>
    <row r="160" spans="1:8" x14ac:dyDescent="0.25">
      <c r="D160" s="1" t="s">
        <v>588</v>
      </c>
      <c r="E160" s="2">
        <v>400</v>
      </c>
      <c r="F160" s="2">
        <f>203.09</f>
        <v>203.09</v>
      </c>
      <c r="G160" s="19">
        <f t="shared" si="4"/>
        <v>196.91</v>
      </c>
    </row>
    <row r="161" spans="2:8" x14ac:dyDescent="0.25">
      <c r="D161" s="1" t="s">
        <v>589</v>
      </c>
      <c r="E161" s="2">
        <v>100</v>
      </c>
      <c r="F161" s="2">
        <f>20+57</f>
        <v>77</v>
      </c>
      <c r="G161" s="19">
        <f t="shared" si="4"/>
        <v>23</v>
      </c>
    </row>
    <row r="162" spans="2:8" x14ac:dyDescent="0.25">
      <c r="D162" s="1" t="s">
        <v>203</v>
      </c>
      <c r="E162" s="2">
        <v>5</v>
      </c>
      <c r="G162" s="19">
        <f t="shared" si="4"/>
        <v>5</v>
      </c>
    </row>
    <row r="163" spans="2:8" x14ac:dyDescent="0.25">
      <c r="D163" s="1" t="s">
        <v>55</v>
      </c>
      <c r="E163" s="2">
        <v>6</v>
      </c>
      <c r="G163" s="19">
        <f t="shared" si="4"/>
        <v>6</v>
      </c>
    </row>
    <row r="164" spans="2:8" x14ac:dyDescent="0.25">
      <c r="D164" s="1" t="s">
        <v>590</v>
      </c>
      <c r="E164" s="2">
        <v>10</v>
      </c>
      <c r="G164" s="19">
        <f t="shared" si="4"/>
        <v>10</v>
      </c>
    </row>
    <row r="165" spans="2:8" x14ac:dyDescent="0.25">
      <c r="D165" s="1" t="s">
        <v>591</v>
      </c>
      <c r="E165" s="2">
        <v>25</v>
      </c>
      <c r="G165" s="19">
        <f t="shared" si="4"/>
        <v>25</v>
      </c>
    </row>
    <row r="166" spans="2:8" x14ac:dyDescent="0.25">
      <c r="D166" s="1" t="s">
        <v>13</v>
      </c>
      <c r="E166" s="2">
        <v>6</v>
      </c>
      <c r="G166" s="19">
        <f t="shared" si="4"/>
        <v>6</v>
      </c>
    </row>
    <row r="167" spans="2:8" x14ac:dyDescent="0.25">
      <c r="B167" s="47" t="s">
        <v>51</v>
      </c>
      <c r="C167" s="1" t="s">
        <v>598</v>
      </c>
      <c r="D167" s="1" t="s">
        <v>599</v>
      </c>
      <c r="E167" s="2">
        <v>150</v>
      </c>
      <c r="F167" s="2">
        <v>124.75</v>
      </c>
      <c r="G167" s="19">
        <f t="shared" si="4"/>
        <v>25.25</v>
      </c>
    </row>
    <row r="168" spans="2:8" x14ac:dyDescent="0.25">
      <c r="D168" s="1" t="s">
        <v>600</v>
      </c>
      <c r="E168" s="2">
        <v>300</v>
      </c>
      <c r="F168" s="2">
        <v>229.24</v>
      </c>
      <c r="G168" s="19">
        <f t="shared" si="4"/>
        <v>70.759999999999991</v>
      </c>
    </row>
    <row r="169" spans="2:8" x14ac:dyDescent="0.25">
      <c r="B169" s="47" t="s">
        <v>51</v>
      </c>
      <c r="C169" s="1" t="s">
        <v>601</v>
      </c>
      <c r="D169" s="1" t="s">
        <v>534</v>
      </c>
      <c r="E169" s="2">
        <v>1500</v>
      </c>
      <c r="G169" s="19">
        <f t="shared" si="4"/>
        <v>1500</v>
      </c>
      <c r="H169" s="46">
        <f>SUM(G167:G169)</f>
        <v>1596.01</v>
      </c>
    </row>
    <row r="170" spans="2:8" x14ac:dyDescent="0.25">
      <c r="B170" s="1" t="s">
        <v>36</v>
      </c>
      <c r="C170" s="1" t="s">
        <v>603</v>
      </c>
      <c r="D170" s="1" t="s">
        <v>602</v>
      </c>
      <c r="E170" s="2">
        <v>100</v>
      </c>
      <c r="G170" s="19">
        <f t="shared" si="4"/>
        <v>100</v>
      </c>
    </row>
    <row r="171" spans="2:8" x14ac:dyDescent="0.25">
      <c r="B171" s="1" t="s">
        <v>36</v>
      </c>
      <c r="C171" s="1" t="s">
        <v>604</v>
      </c>
      <c r="D171" s="1" t="s">
        <v>605</v>
      </c>
      <c r="E171" s="2">
        <v>500</v>
      </c>
      <c r="F171" s="2">
        <f>20+23.96+0.99+19.81+79.77+8.78+35.96+87.92</f>
        <v>277.19</v>
      </c>
      <c r="G171" s="19">
        <f t="shared" si="4"/>
        <v>222.81</v>
      </c>
    </row>
    <row r="172" spans="2:8" x14ac:dyDescent="0.25">
      <c r="D172" s="1" t="s">
        <v>606</v>
      </c>
      <c r="E172" s="2">
        <v>2300</v>
      </c>
      <c r="F172" s="2">
        <v>2060.5</v>
      </c>
      <c r="G172" s="19">
        <f t="shared" si="4"/>
        <v>239.5</v>
      </c>
    </row>
    <row r="173" spans="2:8" x14ac:dyDescent="0.25">
      <c r="B173" s="1" t="s">
        <v>36</v>
      </c>
      <c r="C173" s="1" t="s">
        <v>607</v>
      </c>
      <c r="D173" s="1" t="s">
        <v>285</v>
      </c>
      <c r="E173" s="2">
        <v>100</v>
      </c>
      <c r="G173" s="19">
        <f t="shared" si="4"/>
        <v>100</v>
      </c>
    </row>
    <row r="174" spans="2:8" x14ac:dyDescent="0.25">
      <c r="D174" s="1" t="s">
        <v>608</v>
      </c>
      <c r="E174" s="2">
        <v>150</v>
      </c>
      <c r="G174" s="19">
        <f t="shared" si="4"/>
        <v>150</v>
      </c>
    </row>
    <row r="175" spans="2:8" x14ac:dyDescent="0.25">
      <c r="D175" s="1" t="s">
        <v>478</v>
      </c>
      <c r="E175" s="2">
        <v>150</v>
      </c>
      <c r="G175" s="19">
        <f t="shared" si="4"/>
        <v>150</v>
      </c>
    </row>
    <row r="176" spans="2:8" x14ac:dyDescent="0.25">
      <c r="D176" s="1" t="s">
        <v>609</v>
      </c>
      <c r="E176" s="2">
        <v>300</v>
      </c>
      <c r="G176" s="19">
        <f t="shared" si="4"/>
        <v>300</v>
      </c>
    </row>
    <row r="177" spans="2:7" x14ac:dyDescent="0.25">
      <c r="D177" s="1" t="s">
        <v>610</v>
      </c>
      <c r="E177" s="2">
        <v>30</v>
      </c>
      <c r="F177" s="2">
        <v>26.97</v>
      </c>
      <c r="G177" s="19">
        <f t="shared" si="4"/>
        <v>3.0300000000000011</v>
      </c>
    </row>
    <row r="178" spans="2:7" x14ac:dyDescent="0.25">
      <c r="D178" s="1" t="s">
        <v>611</v>
      </c>
      <c r="E178" s="2">
        <v>70</v>
      </c>
      <c r="G178" s="19">
        <f t="shared" si="4"/>
        <v>70</v>
      </c>
    </row>
    <row r="179" spans="2:7" x14ac:dyDescent="0.25">
      <c r="B179" s="1" t="s">
        <v>36</v>
      </c>
      <c r="C179" s="1" t="s">
        <v>682</v>
      </c>
      <c r="D179" s="1" t="s">
        <v>683</v>
      </c>
      <c r="E179" s="2">
        <v>200</v>
      </c>
      <c r="F179" s="2">
        <f>12+18.65+4.29</f>
        <v>34.94</v>
      </c>
      <c r="G179" s="19">
        <f t="shared" si="4"/>
        <v>165.06</v>
      </c>
    </row>
    <row r="180" spans="2:7" x14ac:dyDescent="0.25">
      <c r="D180" s="1" t="s">
        <v>684</v>
      </c>
      <c r="E180" s="2">
        <v>100</v>
      </c>
      <c r="F180" s="2">
        <v>106.8</v>
      </c>
      <c r="G180" s="19">
        <f t="shared" si="4"/>
        <v>-6.7999999999999972</v>
      </c>
    </row>
    <row r="181" spans="2:7" x14ac:dyDescent="0.25">
      <c r="D181" s="1" t="s">
        <v>205</v>
      </c>
      <c r="E181" s="2">
        <v>40</v>
      </c>
      <c r="F181" s="2">
        <f>18.65+18.65</f>
        <v>37.299999999999997</v>
      </c>
      <c r="G181" s="19">
        <f t="shared" si="4"/>
        <v>2.7000000000000028</v>
      </c>
    </row>
    <row r="182" spans="2:7" x14ac:dyDescent="0.25">
      <c r="B182" s="1" t="s">
        <v>36</v>
      </c>
      <c r="C182" s="1" t="s">
        <v>612</v>
      </c>
      <c r="D182" s="1" t="s">
        <v>613</v>
      </c>
      <c r="E182" s="2">
        <v>7000</v>
      </c>
      <c r="F182" s="2">
        <v>6850</v>
      </c>
      <c r="G182" s="19">
        <f t="shared" si="4"/>
        <v>150</v>
      </c>
    </row>
    <row r="183" spans="2:7" x14ac:dyDescent="0.25">
      <c r="D183" s="1" t="s">
        <v>614</v>
      </c>
      <c r="E183" s="2">
        <v>2200</v>
      </c>
      <c r="F183" s="2">
        <v>2000</v>
      </c>
      <c r="G183" s="19">
        <f t="shared" si="4"/>
        <v>200</v>
      </c>
    </row>
    <row r="184" spans="2:7" x14ac:dyDescent="0.25">
      <c r="D184" s="1" t="s">
        <v>494</v>
      </c>
      <c r="E184" s="2">
        <v>75</v>
      </c>
      <c r="G184" s="19">
        <f t="shared" si="4"/>
        <v>75</v>
      </c>
    </row>
    <row r="185" spans="2:7" x14ac:dyDescent="0.25">
      <c r="B185" s="1" t="s">
        <v>36</v>
      </c>
      <c r="C185" s="1" t="s">
        <v>615</v>
      </c>
      <c r="D185" s="1" t="s">
        <v>616</v>
      </c>
      <c r="E185" s="2">
        <v>700</v>
      </c>
      <c r="F185" s="2">
        <f>489.6+147.75</f>
        <v>637.35</v>
      </c>
      <c r="G185" s="19">
        <f t="shared" si="4"/>
        <v>62.649999999999977</v>
      </c>
    </row>
    <row r="186" spans="2:7" x14ac:dyDescent="0.25">
      <c r="D186" s="1" t="s">
        <v>617</v>
      </c>
      <c r="E186" s="2">
        <v>650</v>
      </c>
      <c r="F186" s="2">
        <v>409</v>
      </c>
      <c r="G186" s="19">
        <f t="shared" si="4"/>
        <v>241</v>
      </c>
    </row>
    <row r="187" spans="2:7" x14ac:dyDescent="0.25">
      <c r="B187" s="1" t="s">
        <v>36</v>
      </c>
      <c r="C187" s="1" t="s">
        <v>618</v>
      </c>
      <c r="D187" s="1" t="s">
        <v>619</v>
      </c>
      <c r="E187" s="2">
        <v>6000</v>
      </c>
      <c r="F187" s="2">
        <f>5450</f>
        <v>5450</v>
      </c>
      <c r="G187" s="19">
        <f t="shared" si="4"/>
        <v>550</v>
      </c>
    </row>
    <row r="188" spans="2:7" x14ac:dyDescent="0.25">
      <c r="D188" s="1" t="s">
        <v>477</v>
      </c>
      <c r="E188" s="2">
        <v>1300</v>
      </c>
      <c r="F188" s="2">
        <v>1202.5</v>
      </c>
      <c r="G188" s="19">
        <f t="shared" si="4"/>
        <v>97.5</v>
      </c>
    </row>
    <row r="189" spans="2:7" x14ac:dyDescent="0.25">
      <c r="D189" s="1" t="s">
        <v>620</v>
      </c>
      <c r="E189" s="2">
        <v>1800</v>
      </c>
      <c r="G189" s="19">
        <f t="shared" si="4"/>
        <v>1800</v>
      </c>
    </row>
    <row r="190" spans="2:7" x14ac:dyDescent="0.25">
      <c r="D190" s="1" t="s">
        <v>621</v>
      </c>
      <c r="E190" s="2">
        <v>300</v>
      </c>
      <c r="F190" s="2">
        <f>96.01+21.8+21.8+21.8+21.8+21.8+21.8+21.8+21.8+11.3+11.3</f>
        <v>293.0100000000001</v>
      </c>
      <c r="G190" s="19">
        <f t="shared" si="4"/>
        <v>6.9899999999998954</v>
      </c>
    </row>
    <row r="191" spans="2:7" x14ac:dyDescent="0.25">
      <c r="D191" s="1" t="s">
        <v>622</v>
      </c>
      <c r="E191" s="2">
        <v>600</v>
      </c>
      <c r="G191" s="19">
        <f t="shared" si="4"/>
        <v>600</v>
      </c>
    </row>
    <row r="192" spans="2:7" x14ac:dyDescent="0.25">
      <c r="D192" s="1" t="s">
        <v>623</v>
      </c>
      <c r="E192" s="2">
        <v>300</v>
      </c>
      <c r="F192" s="2">
        <f>10.29+20.58+29.37+13.99+8.99+11.99</f>
        <v>95.20999999999998</v>
      </c>
      <c r="G192" s="19">
        <f t="shared" si="4"/>
        <v>204.79000000000002</v>
      </c>
    </row>
    <row r="193" spans="1:8" ht="15" customHeight="1" x14ac:dyDescent="0.25">
      <c r="D193" s="1" t="s">
        <v>626</v>
      </c>
      <c r="E193" s="2">
        <v>1300</v>
      </c>
      <c r="G193" s="19">
        <f t="shared" si="4"/>
        <v>1300</v>
      </c>
    </row>
    <row r="194" spans="1:8" x14ac:dyDescent="0.25">
      <c r="A194" s="3" t="s">
        <v>201</v>
      </c>
      <c r="B194" s="1" t="s">
        <v>65</v>
      </c>
      <c r="D194" s="1" t="s">
        <v>116</v>
      </c>
      <c r="E194" s="2">
        <v>100</v>
      </c>
      <c r="F194" s="2">
        <v>100</v>
      </c>
      <c r="G194" s="19">
        <f t="shared" si="4"/>
        <v>0</v>
      </c>
      <c r="H194" s="4"/>
    </row>
    <row r="195" spans="1:8" x14ac:dyDescent="0.25">
      <c r="B195" s="47" t="s">
        <v>51</v>
      </c>
      <c r="C195" s="1" t="s">
        <v>202</v>
      </c>
      <c r="D195" s="1" t="s">
        <v>203</v>
      </c>
      <c r="E195" s="2">
        <v>60</v>
      </c>
      <c r="G195" s="19">
        <f t="shared" si="4"/>
        <v>60</v>
      </c>
    </row>
    <row r="196" spans="1:8" x14ac:dyDescent="0.25">
      <c r="B196" s="47" t="s">
        <v>51</v>
      </c>
      <c r="C196" s="1" t="s">
        <v>204</v>
      </c>
      <c r="D196" s="1" t="s">
        <v>205</v>
      </c>
      <c r="E196" s="2">
        <v>20</v>
      </c>
      <c r="G196" s="19">
        <f t="shared" si="4"/>
        <v>20</v>
      </c>
      <c r="H196" s="46">
        <f>SUM(G195:G196)</f>
        <v>80</v>
      </c>
    </row>
    <row r="197" spans="1:8" x14ac:dyDescent="0.25">
      <c r="D197" s="1" t="s">
        <v>206</v>
      </c>
      <c r="E197" s="2">
        <v>60</v>
      </c>
      <c r="G197" s="19">
        <f t="shared" si="4"/>
        <v>60</v>
      </c>
    </row>
    <row r="198" spans="1:8" x14ac:dyDescent="0.25">
      <c r="A198" s="3" t="s">
        <v>594</v>
      </c>
      <c r="B198" s="1" t="s">
        <v>9</v>
      </c>
      <c r="D198" s="1" t="s">
        <v>685</v>
      </c>
      <c r="E198" s="2">
        <v>20</v>
      </c>
      <c r="G198" s="19">
        <f t="shared" si="4"/>
        <v>20</v>
      </c>
    </row>
    <row r="199" spans="1:8" x14ac:dyDescent="0.25">
      <c r="B199" s="1" t="s">
        <v>14</v>
      </c>
      <c r="D199" s="1" t="s">
        <v>203</v>
      </c>
      <c r="E199" s="2">
        <v>15</v>
      </c>
      <c r="G199" s="19">
        <f t="shared" si="4"/>
        <v>15</v>
      </c>
    </row>
    <row r="200" spans="1:8" x14ac:dyDescent="0.25">
      <c r="D200" s="1" t="s">
        <v>686</v>
      </c>
      <c r="E200" s="2">
        <v>20</v>
      </c>
      <c r="G200" s="19">
        <f t="shared" si="4"/>
        <v>20</v>
      </c>
    </row>
    <row r="201" spans="1:8" x14ac:dyDescent="0.25">
      <c r="D201" s="1" t="s">
        <v>17</v>
      </c>
      <c r="E201" s="2">
        <v>15</v>
      </c>
      <c r="G201" s="19">
        <f t="shared" si="4"/>
        <v>15</v>
      </c>
    </row>
    <row r="202" spans="1:8" x14ac:dyDescent="0.25">
      <c r="D202" s="1" t="s">
        <v>290</v>
      </c>
      <c r="E202" s="2">
        <v>15</v>
      </c>
      <c r="G202" s="19">
        <f t="shared" si="4"/>
        <v>15</v>
      </c>
    </row>
    <row r="203" spans="1:8" x14ac:dyDescent="0.25">
      <c r="D203" s="1" t="s">
        <v>436</v>
      </c>
      <c r="E203" s="2">
        <v>10</v>
      </c>
      <c r="G203" s="19">
        <f t="shared" si="4"/>
        <v>10</v>
      </c>
    </row>
    <row r="204" spans="1:8" x14ac:dyDescent="0.25">
      <c r="B204" s="47" t="s">
        <v>51</v>
      </c>
      <c r="C204" s="1" t="s">
        <v>700</v>
      </c>
      <c r="D204" s="1" t="s">
        <v>701</v>
      </c>
      <c r="E204" s="2">
        <v>350</v>
      </c>
      <c r="F204" s="2">
        <v>317.55</v>
      </c>
      <c r="G204" s="19">
        <f t="shared" si="4"/>
        <v>32.449999999999989</v>
      </c>
    </row>
    <row r="205" spans="1:8" x14ac:dyDescent="0.25">
      <c r="D205" s="1" t="s">
        <v>702</v>
      </c>
      <c r="E205" s="2">
        <v>550</v>
      </c>
      <c r="F205" s="2">
        <f>172.98+350.41</f>
        <v>523.39</v>
      </c>
      <c r="G205" s="19">
        <f t="shared" si="4"/>
        <v>26.610000000000014</v>
      </c>
    </row>
    <row r="206" spans="1:8" x14ac:dyDescent="0.25">
      <c r="B206" s="47" t="s">
        <v>51</v>
      </c>
      <c r="C206" s="1" t="s">
        <v>687</v>
      </c>
      <c r="D206" s="1" t="s">
        <v>688</v>
      </c>
      <c r="E206" s="2">
        <v>50</v>
      </c>
      <c r="F206" s="2">
        <f>172.61-122.61</f>
        <v>50.000000000000014</v>
      </c>
      <c r="G206" s="19">
        <f t="shared" si="4"/>
        <v>0</v>
      </c>
    </row>
    <row r="207" spans="1:8" x14ac:dyDescent="0.25">
      <c r="D207" s="1" t="s">
        <v>689</v>
      </c>
      <c r="E207" s="2">
        <v>250</v>
      </c>
      <c r="F207" s="2">
        <v>122.61</v>
      </c>
      <c r="G207" s="19">
        <f t="shared" si="4"/>
        <v>127.39</v>
      </c>
    </row>
    <row r="208" spans="1:8" x14ac:dyDescent="0.25">
      <c r="D208" s="1" t="s">
        <v>93</v>
      </c>
      <c r="E208" s="2">
        <v>30</v>
      </c>
      <c r="F208" s="2">
        <f>6.88</f>
        <v>6.88</v>
      </c>
      <c r="G208" s="19">
        <f t="shared" si="4"/>
        <v>23.12</v>
      </c>
    </row>
    <row r="209" spans="1:9" x14ac:dyDescent="0.25">
      <c r="D209" s="1" t="s">
        <v>690</v>
      </c>
      <c r="E209" s="2">
        <v>20</v>
      </c>
      <c r="G209" s="19">
        <f t="shared" si="4"/>
        <v>20</v>
      </c>
      <c r="H209" s="46">
        <f>SUM(G204:G209)</f>
        <v>229.57</v>
      </c>
    </row>
    <row r="210" spans="1:9" x14ac:dyDescent="0.25">
      <c r="B210" s="1" t="s">
        <v>36</v>
      </c>
      <c r="C210" s="1" t="s">
        <v>691</v>
      </c>
      <c r="D210" s="1" t="s">
        <v>692</v>
      </c>
      <c r="E210" s="2">
        <v>2800</v>
      </c>
      <c r="F210" s="2">
        <f>232.84+315.57-4.99+235.55-15.11+329+298.9+47.62+291.5+136</f>
        <v>1866.88</v>
      </c>
      <c r="G210" s="19">
        <f t="shared" si="4"/>
        <v>933.11999999999989</v>
      </c>
    </row>
    <row r="211" spans="1:9" x14ac:dyDescent="0.25">
      <c r="D211" s="1" t="s">
        <v>693</v>
      </c>
      <c r="E211" s="2">
        <v>80</v>
      </c>
      <c r="F211" s="2">
        <f>15.11</f>
        <v>15.11</v>
      </c>
      <c r="G211" s="19">
        <f t="shared" si="4"/>
        <v>64.89</v>
      </c>
    </row>
    <row r="212" spans="1:9" x14ac:dyDescent="0.25">
      <c r="D212" s="1" t="s">
        <v>694</v>
      </c>
      <c r="E212" s="2">
        <v>340</v>
      </c>
      <c r="G212" s="19">
        <f t="shared" si="4"/>
        <v>340</v>
      </c>
    </row>
    <row r="213" spans="1:9" x14ac:dyDescent="0.25">
      <c r="D213" s="1" t="s">
        <v>695</v>
      </c>
      <c r="E213" s="2">
        <v>58</v>
      </c>
      <c r="G213" s="19">
        <f t="shared" si="4"/>
        <v>58</v>
      </c>
    </row>
    <row r="214" spans="1:9" x14ac:dyDescent="0.25">
      <c r="D214" s="1" t="s">
        <v>696</v>
      </c>
      <c r="E214" s="2">
        <v>40</v>
      </c>
      <c r="F214" s="2">
        <f>7.52</f>
        <v>7.52</v>
      </c>
      <c r="G214" s="19">
        <f t="shared" si="4"/>
        <v>32.480000000000004</v>
      </c>
    </row>
    <row r="215" spans="1:9" x14ac:dyDescent="0.25">
      <c r="D215" s="1" t="s">
        <v>697</v>
      </c>
      <c r="E215" s="2">
        <v>20</v>
      </c>
      <c r="F215" s="2">
        <v>4.99</v>
      </c>
      <c r="G215" s="19">
        <f t="shared" si="4"/>
        <v>15.01</v>
      </c>
    </row>
    <row r="216" spans="1:9" x14ac:dyDescent="0.25">
      <c r="B216" s="1" t="s">
        <v>36</v>
      </c>
      <c r="C216" s="1" t="s">
        <v>699</v>
      </c>
      <c r="D216" s="1" t="s">
        <v>698</v>
      </c>
      <c r="E216" s="2">
        <v>500</v>
      </c>
      <c r="G216" s="19">
        <f t="shared" si="4"/>
        <v>500</v>
      </c>
    </row>
    <row r="217" spans="1:9" x14ac:dyDescent="0.25">
      <c r="A217" s="3" t="s">
        <v>207</v>
      </c>
      <c r="B217" s="1" t="s">
        <v>65</v>
      </c>
      <c r="D217" s="1" t="s">
        <v>208</v>
      </c>
      <c r="E217" s="2">
        <v>200</v>
      </c>
      <c r="F217" s="2">
        <v>200</v>
      </c>
      <c r="G217" s="19">
        <f t="shared" si="4"/>
        <v>0</v>
      </c>
    </row>
    <row r="218" spans="1:9" x14ac:dyDescent="0.25">
      <c r="D218" s="1" t="s">
        <v>209</v>
      </c>
      <c r="E218" s="2">
        <v>350</v>
      </c>
      <c r="G218" s="19">
        <f t="shared" si="4"/>
        <v>350</v>
      </c>
    </row>
    <row r="219" spans="1:9" x14ac:dyDescent="0.25">
      <c r="D219" s="1" t="s">
        <v>210</v>
      </c>
      <c r="E219" s="2">
        <v>250</v>
      </c>
      <c r="G219" s="19">
        <f t="shared" si="4"/>
        <v>250</v>
      </c>
    </row>
    <row r="220" spans="1:9" x14ac:dyDescent="0.25">
      <c r="D220" s="1" t="s">
        <v>211</v>
      </c>
      <c r="E220" s="2">
        <v>180</v>
      </c>
      <c r="F220" s="2">
        <v>180</v>
      </c>
      <c r="G220" s="19">
        <f t="shared" si="4"/>
        <v>0</v>
      </c>
    </row>
    <row r="221" spans="1:9" x14ac:dyDescent="0.25">
      <c r="B221" s="1" t="s">
        <v>127</v>
      </c>
      <c r="D221" s="1" t="s">
        <v>130</v>
      </c>
      <c r="E221" s="2">
        <v>144</v>
      </c>
      <c r="G221" s="19">
        <f t="shared" si="4"/>
        <v>144</v>
      </c>
    </row>
    <row r="222" spans="1:9" x14ac:dyDescent="0.25">
      <c r="D222" s="1" t="s">
        <v>131</v>
      </c>
      <c r="E222" s="2">
        <v>100</v>
      </c>
      <c r="G222" s="19">
        <f t="shared" si="4"/>
        <v>100</v>
      </c>
    </row>
    <row r="223" spans="1:9" x14ac:dyDescent="0.25">
      <c r="B223" s="1" t="s">
        <v>14</v>
      </c>
      <c r="D223" s="1" t="s">
        <v>212</v>
      </c>
      <c r="E223" s="2">
        <v>90</v>
      </c>
      <c r="F223" s="2">
        <f>2.34+79.29</f>
        <v>81.63000000000001</v>
      </c>
      <c r="G223" s="19">
        <f t="shared" si="4"/>
        <v>8.3699999999999903</v>
      </c>
      <c r="I223" s="1">
        <v>79.290000000000006</v>
      </c>
    </row>
    <row r="224" spans="1:9" x14ac:dyDescent="0.25">
      <c r="D224" s="1" t="s">
        <v>213</v>
      </c>
      <c r="E224" s="2">
        <v>10</v>
      </c>
      <c r="F224" s="2">
        <f>10</f>
        <v>10</v>
      </c>
      <c r="G224" s="19">
        <f t="shared" si="4"/>
        <v>0</v>
      </c>
      <c r="I224" s="1">
        <f>191.63-I223</f>
        <v>112.33999999999999</v>
      </c>
    </row>
    <row r="225" spans="1:8" x14ac:dyDescent="0.25">
      <c r="D225" s="1" t="s">
        <v>214</v>
      </c>
      <c r="E225" s="2">
        <v>100</v>
      </c>
      <c r="F225" s="2">
        <v>100</v>
      </c>
      <c r="G225" s="19">
        <f t="shared" si="4"/>
        <v>0</v>
      </c>
    </row>
    <row r="226" spans="1:8" x14ac:dyDescent="0.25">
      <c r="A226" s="3" t="s">
        <v>735</v>
      </c>
      <c r="B226" s="1" t="s">
        <v>9</v>
      </c>
      <c r="D226" s="1" t="s">
        <v>318</v>
      </c>
      <c r="E226" s="2">
        <v>25</v>
      </c>
      <c r="G226" s="19">
        <f t="shared" si="4"/>
        <v>25</v>
      </c>
    </row>
    <row r="227" spans="1:8" x14ac:dyDescent="0.25">
      <c r="D227" s="1" t="s">
        <v>21</v>
      </c>
      <c r="E227" s="2">
        <v>10</v>
      </c>
      <c r="G227" s="19">
        <f t="shared" si="4"/>
        <v>10</v>
      </c>
    </row>
    <row r="228" spans="1:8" x14ac:dyDescent="0.25">
      <c r="D228" s="1" t="s">
        <v>22</v>
      </c>
      <c r="E228" s="2">
        <v>150</v>
      </c>
      <c r="G228" s="19">
        <f t="shared" si="4"/>
        <v>150</v>
      </c>
    </row>
    <row r="229" spans="1:8" x14ac:dyDescent="0.25">
      <c r="B229" s="47" t="s">
        <v>51</v>
      </c>
      <c r="C229" s="1" t="s">
        <v>736</v>
      </c>
      <c r="D229" s="1" t="s">
        <v>191</v>
      </c>
      <c r="E229" s="2">
        <v>950</v>
      </c>
      <c r="F229" s="2">
        <v>935</v>
      </c>
      <c r="G229" s="19">
        <f t="shared" si="4"/>
        <v>15</v>
      </c>
    </row>
    <row r="230" spans="1:8" x14ac:dyDescent="0.25">
      <c r="D230" s="1" t="s">
        <v>79</v>
      </c>
      <c r="E230" s="2">
        <v>100</v>
      </c>
      <c r="F230" s="2">
        <f>12.46+74.5</f>
        <v>86.960000000000008</v>
      </c>
      <c r="G230" s="19">
        <f t="shared" si="4"/>
        <v>13.039999999999992</v>
      </c>
    </row>
    <row r="231" spans="1:8" x14ac:dyDescent="0.25">
      <c r="D231" s="1" t="s">
        <v>188</v>
      </c>
      <c r="E231" s="2">
        <v>150</v>
      </c>
      <c r="F231" s="2">
        <f>19.73+11.75+91.95+5</f>
        <v>128.43</v>
      </c>
      <c r="G231" s="19">
        <f t="shared" si="4"/>
        <v>21.569999999999993</v>
      </c>
    </row>
    <row r="232" spans="1:8" x14ac:dyDescent="0.25">
      <c r="D232" s="1" t="s">
        <v>737</v>
      </c>
      <c r="E232" s="2">
        <v>75</v>
      </c>
      <c r="F232" s="2">
        <f>35+38.31</f>
        <v>73.31</v>
      </c>
      <c r="G232" s="19">
        <f t="shared" si="4"/>
        <v>1.6899999999999977</v>
      </c>
    </row>
    <row r="233" spans="1:8" x14ac:dyDescent="0.25">
      <c r="D233" s="1" t="s">
        <v>738</v>
      </c>
      <c r="E233" s="2">
        <v>75</v>
      </c>
      <c r="G233" s="19">
        <f t="shared" si="4"/>
        <v>75</v>
      </c>
      <c r="H233" s="46">
        <f>SUM(G229:G233)</f>
        <v>126.29999999999998</v>
      </c>
    </row>
    <row r="234" spans="1:8" x14ac:dyDescent="0.25">
      <c r="A234" s="3" t="s">
        <v>215</v>
      </c>
      <c r="B234" s="1" t="s">
        <v>36</v>
      </c>
      <c r="C234" s="1" t="s">
        <v>216</v>
      </c>
      <c r="D234" s="1" t="s">
        <v>217</v>
      </c>
      <c r="E234" s="2">
        <v>30</v>
      </c>
      <c r="F234" s="2">
        <v>30</v>
      </c>
      <c r="G234" s="19">
        <f t="shared" si="4"/>
        <v>0</v>
      </c>
    </row>
    <row r="235" spans="1:8" x14ac:dyDescent="0.25">
      <c r="D235" s="1" t="s">
        <v>218</v>
      </c>
      <c r="E235" s="2">
        <v>150</v>
      </c>
      <c r="F235" s="2">
        <v>150</v>
      </c>
      <c r="G235" s="19">
        <f t="shared" si="4"/>
        <v>0</v>
      </c>
    </row>
    <row r="236" spans="1:8" x14ac:dyDescent="0.25">
      <c r="B236" s="1" t="s">
        <v>36</v>
      </c>
      <c r="C236" s="1" t="s">
        <v>1104</v>
      </c>
      <c r="D236" s="1" t="s">
        <v>219</v>
      </c>
      <c r="E236" s="2">
        <v>280</v>
      </c>
      <c r="F236" s="2">
        <v>280</v>
      </c>
      <c r="G236" s="19">
        <f t="shared" si="4"/>
        <v>0</v>
      </c>
    </row>
    <row r="237" spans="1:8" x14ac:dyDescent="0.25">
      <c r="A237" s="3" t="s">
        <v>220</v>
      </c>
      <c r="B237" s="1" t="s">
        <v>36</v>
      </c>
      <c r="C237" s="1" t="s">
        <v>221</v>
      </c>
      <c r="D237" s="1" t="s">
        <v>222</v>
      </c>
      <c r="E237" s="2">
        <v>80</v>
      </c>
      <c r="G237" s="19">
        <f t="shared" si="4"/>
        <v>80</v>
      </c>
    </row>
    <row r="238" spans="1:8" x14ac:dyDescent="0.25">
      <c r="A238" s="3" t="s">
        <v>223</v>
      </c>
      <c r="B238" s="1" t="s">
        <v>14</v>
      </c>
      <c r="D238" s="1" t="s">
        <v>224</v>
      </c>
      <c r="E238" s="2">
        <v>20</v>
      </c>
      <c r="G238" s="19">
        <f t="shared" si="4"/>
        <v>20</v>
      </c>
    </row>
    <row r="239" spans="1:8" x14ac:dyDescent="0.25">
      <c r="D239" s="1" t="s">
        <v>225</v>
      </c>
      <c r="E239" s="2">
        <v>100</v>
      </c>
      <c r="G239" s="19">
        <f t="shared" si="4"/>
        <v>100</v>
      </c>
    </row>
    <row r="240" spans="1:8" x14ac:dyDescent="0.25">
      <c r="D240" s="1" t="s">
        <v>226</v>
      </c>
      <c r="E240" s="2">
        <v>175</v>
      </c>
      <c r="F240" s="2">
        <f>22.34+4.47+2.79+6.56+35.53+5.97+3.98</f>
        <v>81.64</v>
      </c>
      <c r="G240" s="19">
        <f t="shared" si="4"/>
        <v>93.36</v>
      </c>
    </row>
    <row r="241" spans="1:8" x14ac:dyDescent="0.25">
      <c r="D241" s="1" t="s">
        <v>203</v>
      </c>
      <c r="E241" s="2">
        <v>35</v>
      </c>
      <c r="G241" s="19">
        <f t="shared" si="4"/>
        <v>35</v>
      </c>
    </row>
    <row r="242" spans="1:8" x14ac:dyDescent="0.25">
      <c r="D242" s="1" t="s">
        <v>227</v>
      </c>
      <c r="E242" s="2">
        <v>40</v>
      </c>
      <c r="G242" s="19">
        <f t="shared" si="4"/>
        <v>40</v>
      </c>
    </row>
    <row r="243" spans="1:8" x14ac:dyDescent="0.25">
      <c r="B243" s="47" t="s">
        <v>51</v>
      </c>
      <c r="C243" s="1" t="s">
        <v>228</v>
      </c>
      <c r="D243" s="1" t="s">
        <v>229</v>
      </c>
      <c r="E243" s="2">
        <v>12430</v>
      </c>
      <c r="F243" s="2">
        <f>2296+5359</f>
        <v>7655</v>
      </c>
      <c r="G243" s="19">
        <f t="shared" si="4"/>
        <v>4775</v>
      </c>
    </row>
    <row r="244" spans="1:8" x14ac:dyDescent="0.25">
      <c r="D244" s="1" t="s">
        <v>230</v>
      </c>
      <c r="E244" s="2">
        <v>493.89</v>
      </c>
      <c r="F244" s="2">
        <f>393.87</f>
        <v>393.87</v>
      </c>
      <c r="G244" s="19">
        <f t="shared" si="4"/>
        <v>100.01999999999998</v>
      </c>
    </row>
    <row r="245" spans="1:8" x14ac:dyDescent="0.25">
      <c r="D245" s="1" t="s">
        <v>652</v>
      </c>
      <c r="E245" s="2">
        <v>1488</v>
      </c>
      <c r="F245" s="2">
        <v>1488</v>
      </c>
      <c r="G245" s="19">
        <f t="shared" si="4"/>
        <v>0</v>
      </c>
      <c r="H245" s="46">
        <f>SUM(G243:G245)</f>
        <v>4875.0200000000004</v>
      </c>
    </row>
    <row r="246" spans="1:8" x14ac:dyDescent="0.25">
      <c r="B246" s="1" t="s">
        <v>36</v>
      </c>
      <c r="C246" s="1" t="s">
        <v>231</v>
      </c>
      <c r="D246" s="1" t="s">
        <v>232</v>
      </c>
      <c r="E246" s="2">
        <v>200</v>
      </c>
      <c r="F246" s="2">
        <f>9.94+18.97</f>
        <v>28.909999999999997</v>
      </c>
      <c r="G246" s="19">
        <f t="shared" si="4"/>
        <v>171.09</v>
      </c>
    </row>
    <row r="247" spans="1:8" x14ac:dyDescent="0.25">
      <c r="A247" s="3" t="s">
        <v>233</v>
      </c>
      <c r="B247" s="1" t="s">
        <v>36</v>
      </c>
      <c r="C247" s="1" t="s">
        <v>234</v>
      </c>
      <c r="D247" s="1" t="s">
        <v>235</v>
      </c>
      <c r="E247" s="2">
        <v>1500</v>
      </c>
      <c r="G247" s="19">
        <f t="shared" si="4"/>
        <v>1500</v>
      </c>
    </row>
    <row r="248" spans="1:8" x14ac:dyDescent="0.25">
      <c r="D248" s="1" t="s">
        <v>236</v>
      </c>
      <c r="E248" s="2">
        <v>2300</v>
      </c>
      <c r="G248" s="19">
        <f t="shared" si="4"/>
        <v>2300</v>
      </c>
    </row>
    <row r="249" spans="1:8" x14ac:dyDescent="0.25">
      <c r="A249" s="3" t="s">
        <v>237</v>
      </c>
      <c r="B249" s="1" t="s">
        <v>9</v>
      </c>
      <c r="D249" s="1" t="s">
        <v>238</v>
      </c>
      <c r="E249" s="2">
        <v>100</v>
      </c>
      <c r="G249" s="19">
        <f t="shared" si="4"/>
        <v>100</v>
      </c>
    </row>
    <row r="250" spans="1:8" x14ac:dyDescent="0.25">
      <c r="D250" s="1" t="s">
        <v>25</v>
      </c>
      <c r="E250" s="2">
        <v>10</v>
      </c>
      <c r="G250" s="19">
        <f t="shared" si="4"/>
        <v>10</v>
      </c>
    </row>
    <row r="251" spans="1:8" x14ac:dyDescent="0.25">
      <c r="D251" s="1" t="s">
        <v>181</v>
      </c>
      <c r="E251" s="2">
        <v>20</v>
      </c>
      <c r="G251" s="19">
        <f t="shared" si="4"/>
        <v>20</v>
      </c>
    </row>
    <row r="252" spans="1:8" x14ac:dyDescent="0.25">
      <c r="A252" s="3" t="s">
        <v>239</v>
      </c>
      <c r="B252" s="1" t="s">
        <v>36</v>
      </c>
      <c r="C252" s="1" t="s">
        <v>240</v>
      </c>
      <c r="D252" s="1" t="s">
        <v>241</v>
      </c>
      <c r="E252" s="2">
        <v>150</v>
      </c>
      <c r="G252" s="19">
        <f t="shared" si="4"/>
        <v>150</v>
      </c>
    </row>
    <row r="253" spans="1:8" x14ac:dyDescent="0.25">
      <c r="D253" s="1" t="s">
        <v>242</v>
      </c>
      <c r="E253" s="2">
        <v>250</v>
      </c>
      <c r="G253" s="19">
        <f t="shared" si="4"/>
        <v>250</v>
      </c>
    </row>
    <row r="254" spans="1:8" x14ac:dyDescent="0.25">
      <c r="A254" s="3" t="s">
        <v>243</v>
      </c>
      <c r="B254" s="1" t="s">
        <v>244</v>
      </c>
      <c r="D254" s="1" t="s">
        <v>25</v>
      </c>
      <c r="E254" s="2">
        <v>10</v>
      </c>
      <c r="G254" s="19">
        <f t="shared" si="4"/>
        <v>10</v>
      </c>
    </row>
    <row r="255" spans="1:8" x14ac:dyDescent="0.25">
      <c r="A255" s="3" t="s">
        <v>243</v>
      </c>
      <c r="B255" s="1" t="s">
        <v>244</v>
      </c>
      <c r="D255" s="1" t="s">
        <v>245</v>
      </c>
      <c r="E255" s="2">
        <v>329</v>
      </c>
      <c r="G255" s="19">
        <f t="shared" si="4"/>
        <v>329</v>
      </c>
    </row>
    <row r="256" spans="1:8" x14ac:dyDescent="0.25">
      <c r="B256" s="1" t="s">
        <v>14</v>
      </c>
      <c r="D256" s="1" t="s">
        <v>203</v>
      </c>
      <c r="E256" s="2">
        <v>34.950000000000003</v>
      </c>
      <c r="G256" s="19">
        <f t="shared" si="4"/>
        <v>34.950000000000003</v>
      </c>
    </row>
    <row r="257" spans="1:8" x14ac:dyDescent="0.25">
      <c r="D257" s="1" t="s">
        <v>227</v>
      </c>
      <c r="E257" s="2">
        <v>62.9</v>
      </c>
      <c r="G257" s="19">
        <f t="shared" si="4"/>
        <v>62.9</v>
      </c>
    </row>
    <row r="258" spans="1:8" x14ac:dyDescent="0.25">
      <c r="D258" s="1" t="s">
        <v>246</v>
      </c>
      <c r="E258" s="2">
        <v>21.5</v>
      </c>
      <c r="G258" s="19">
        <f t="shared" si="4"/>
        <v>21.5</v>
      </c>
    </row>
    <row r="259" spans="1:8" x14ac:dyDescent="0.25">
      <c r="B259" s="47" t="s">
        <v>51</v>
      </c>
      <c r="C259" s="1" t="s">
        <v>247</v>
      </c>
      <c r="D259" s="1" t="s">
        <v>248</v>
      </c>
      <c r="E259" s="2">
        <v>100</v>
      </c>
      <c r="G259" s="19">
        <f t="shared" si="4"/>
        <v>100</v>
      </c>
    </row>
    <row r="260" spans="1:8" x14ac:dyDescent="0.25">
      <c r="D260" s="1" t="s">
        <v>249</v>
      </c>
      <c r="E260" s="2">
        <v>1000</v>
      </c>
      <c r="F260" s="2">
        <v>1000</v>
      </c>
      <c r="G260" s="19">
        <f t="shared" si="4"/>
        <v>0</v>
      </c>
    </row>
    <row r="261" spans="1:8" x14ac:dyDescent="0.25">
      <c r="B261" s="47" t="s">
        <v>51</v>
      </c>
      <c r="C261" s="1" t="s">
        <v>250</v>
      </c>
      <c r="D261" s="1" t="s">
        <v>251</v>
      </c>
      <c r="E261" s="2">
        <v>300</v>
      </c>
      <c r="G261" s="19">
        <f t="shared" si="4"/>
        <v>300</v>
      </c>
    </row>
    <row r="262" spans="1:8" x14ac:dyDescent="0.25">
      <c r="D262" s="1" t="s">
        <v>252</v>
      </c>
      <c r="E262" s="2">
        <v>100</v>
      </c>
      <c r="G262" s="19">
        <f t="shared" si="4"/>
        <v>100</v>
      </c>
      <c r="H262" s="46">
        <f>SUM(G259:G262)</f>
        <v>500</v>
      </c>
    </row>
    <row r="263" spans="1:8" x14ac:dyDescent="0.25">
      <c r="B263" s="1" t="s">
        <v>36</v>
      </c>
      <c r="C263" s="1" t="s">
        <v>260</v>
      </c>
      <c r="D263" s="1" t="s">
        <v>253</v>
      </c>
      <c r="E263" s="2">
        <v>200</v>
      </c>
      <c r="G263" s="19">
        <f t="shared" si="4"/>
        <v>200</v>
      </c>
    </row>
    <row r="264" spans="1:8" x14ac:dyDescent="0.25">
      <c r="D264" s="1" t="s">
        <v>254</v>
      </c>
      <c r="E264" s="2">
        <v>6.27</v>
      </c>
      <c r="G264" s="19">
        <f t="shared" si="4"/>
        <v>6.27</v>
      </c>
    </row>
    <row r="265" spans="1:8" x14ac:dyDescent="0.25">
      <c r="D265" s="1" t="s">
        <v>255</v>
      </c>
      <c r="E265" s="2">
        <v>21.99</v>
      </c>
      <c r="G265" s="19">
        <f t="shared" si="4"/>
        <v>21.99</v>
      </c>
    </row>
    <row r="266" spans="1:8" x14ac:dyDescent="0.25">
      <c r="D266" s="1" t="s">
        <v>256</v>
      </c>
      <c r="E266" s="2">
        <v>5.94</v>
      </c>
      <c r="G266" s="19">
        <f t="shared" si="4"/>
        <v>5.94</v>
      </c>
    </row>
    <row r="267" spans="1:8" x14ac:dyDescent="0.25">
      <c r="D267" s="1" t="s">
        <v>257</v>
      </c>
      <c r="E267" s="2">
        <v>38.700000000000003</v>
      </c>
      <c r="G267" s="19">
        <f t="shared" si="4"/>
        <v>38.700000000000003</v>
      </c>
    </row>
    <row r="268" spans="1:8" x14ac:dyDescent="0.25">
      <c r="D268" s="1" t="s">
        <v>258</v>
      </c>
      <c r="E268" s="2">
        <v>14.2</v>
      </c>
      <c r="G268" s="19">
        <f t="shared" si="4"/>
        <v>14.2</v>
      </c>
    </row>
    <row r="269" spans="1:8" x14ac:dyDescent="0.25">
      <c r="B269" s="1" t="s">
        <v>36</v>
      </c>
      <c r="C269" s="1" t="s">
        <v>259</v>
      </c>
      <c r="D269" s="1" t="s">
        <v>254</v>
      </c>
      <c r="E269" s="2">
        <v>6.27</v>
      </c>
      <c r="G269" s="19">
        <f t="shared" si="4"/>
        <v>6.27</v>
      </c>
    </row>
    <row r="270" spans="1:8" x14ac:dyDescent="0.25">
      <c r="D270" s="1" t="s">
        <v>255</v>
      </c>
      <c r="E270" s="2">
        <v>6.47</v>
      </c>
      <c r="G270" s="19">
        <f t="shared" si="4"/>
        <v>6.47</v>
      </c>
    </row>
    <row r="271" spans="1:8" x14ac:dyDescent="0.25">
      <c r="D271" s="1" t="s">
        <v>256</v>
      </c>
      <c r="E271" s="2">
        <v>5.94</v>
      </c>
      <c r="G271" s="19">
        <f t="shared" si="4"/>
        <v>5.94</v>
      </c>
    </row>
    <row r="272" spans="1:8" x14ac:dyDescent="0.25">
      <c r="A272" s="3" t="s">
        <v>261</v>
      </c>
      <c r="B272" s="1" t="s">
        <v>36</v>
      </c>
      <c r="C272" s="1" t="s">
        <v>262</v>
      </c>
      <c r="D272" s="1" t="s">
        <v>263</v>
      </c>
      <c r="E272" s="2">
        <v>150</v>
      </c>
      <c r="F272" s="2">
        <f>39.4</f>
        <v>39.4</v>
      </c>
      <c r="G272" s="19">
        <f t="shared" si="4"/>
        <v>110.6</v>
      </c>
    </row>
    <row r="273" spans="1:8" x14ac:dyDescent="0.25">
      <c r="D273" s="1" t="s">
        <v>732</v>
      </c>
      <c r="E273" s="2">
        <v>300</v>
      </c>
      <c r="F273" s="2">
        <v>300</v>
      </c>
      <c r="G273" s="19">
        <f t="shared" si="4"/>
        <v>0</v>
      </c>
    </row>
    <row r="274" spans="1:8" x14ac:dyDescent="0.25">
      <c r="D274" s="1" t="s">
        <v>733</v>
      </c>
      <c r="E274" s="2">
        <v>300</v>
      </c>
      <c r="F274" s="2">
        <v>109.5</v>
      </c>
      <c r="G274" s="19">
        <f t="shared" si="4"/>
        <v>190.5</v>
      </c>
    </row>
    <row r="275" spans="1:8" x14ac:dyDescent="0.25">
      <c r="B275" s="1" t="s">
        <v>36</v>
      </c>
      <c r="C275" s="1" t="s">
        <v>264</v>
      </c>
      <c r="D275" s="1" t="s">
        <v>265</v>
      </c>
      <c r="E275" s="2">
        <v>289.5</v>
      </c>
      <c r="F275" s="2">
        <v>289.5</v>
      </c>
      <c r="G275" s="19">
        <f t="shared" si="4"/>
        <v>0</v>
      </c>
    </row>
    <row r="276" spans="1:8" x14ac:dyDescent="0.25">
      <c r="A276" s="3" t="s">
        <v>266</v>
      </c>
      <c r="B276" s="1" t="s">
        <v>36</v>
      </c>
      <c r="C276" s="1" t="s">
        <v>267</v>
      </c>
      <c r="D276" s="1" t="s">
        <v>268</v>
      </c>
      <c r="E276" s="2">
        <v>4000</v>
      </c>
      <c r="F276" s="2">
        <v>4000</v>
      </c>
      <c r="G276" s="19">
        <f t="shared" si="4"/>
        <v>0</v>
      </c>
    </row>
    <row r="277" spans="1:8" x14ac:dyDescent="0.25">
      <c r="D277" s="1" t="s">
        <v>269</v>
      </c>
      <c r="E277" s="2">
        <v>920</v>
      </c>
      <c r="F277" s="2">
        <f>193.99+200.99</f>
        <v>394.98</v>
      </c>
      <c r="G277" s="19">
        <f t="shared" si="4"/>
        <v>525.02</v>
      </c>
    </row>
    <row r="278" spans="1:8" x14ac:dyDescent="0.25">
      <c r="B278" s="1" t="s">
        <v>36</v>
      </c>
      <c r="C278" s="1" t="s">
        <v>270</v>
      </c>
      <c r="D278" s="1" t="s">
        <v>271</v>
      </c>
      <c r="E278" s="2">
        <v>139.80000000000001</v>
      </c>
      <c r="F278" s="2">
        <f>125.95</f>
        <v>125.95</v>
      </c>
      <c r="G278" s="19">
        <f t="shared" si="4"/>
        <v>13.850000000000009</v>
      </c>
    </row>
    <row r="279" spans="1:8" x14ac:dyDescent="0.25">
      <c r="D279" s="1" t="s">
        <v>272</v>
      </c>
      <c r="E279" s="2">
        <v>247.5</v>
      </c>
      <c r="G279" s="19">
        <f t="shared" si="4"/>
        <v>247.5</v>
      </c>
    </row>
    <row r="280" spans="1:8" x14ac:dyDescent="0.25">
      <c r="D280" s="1" t="s">
        <v>273</v>
      </c>
      <c r="E280" s="2">
        <v>218.96</v>
      </c>
      <c r="G280" s="19">
        <f t="shared" si="4"/>
        <v>218.96</v>
      </c>
    </row>
    <row r="281" spans="1:8" x14ac:dyDescent="0.25">
      <c r="D281" s="1" t="s">
        <v>274</v>
      </c>
      <c r="E281" s="2">
        <v>3190</v>
      </c>
      <c r="G281" s="19">
        <f t="shared" ref="G281:G344" si="5">E281-F281</f>
        <v>3190</v>
      </c>
    </row>
    <row r="282" spans="1:8" x14ac:dyDescent="0.25">
      <c r="D282" s="1" t="s">
        <v>275</v>
      </c>
      <c r="E282" s="2">
        <v>3000</v>
      </c>
      <c r="G282" s="19">
        <f t="shared" si="5"/>
        <v>3000</v>
      </c>
    </row>
    <row r="283" spans="1:8" x14ac:dyDescent="0.25">
      <c r="A283" s="3" t="s">
        <v>276</v>
      </c>
      <c r="B283" s="1" t="s">
        <v>36</v>
      </c>
      <c r="C283" s="1" t="s">
        <v>277</v>
      </c>
      <c r="D283" s="1" t="s">
        <v>278</v>
      </c>
      <c r="E283" s="2">
        <v>150</v>
      </c>
      <c r="G283" s="19">
        <f t="shared" si="5"/>
        <v>150</v>
      </c>
    </row>
    <row r="284" spans="1:8" x14ac:dyDescent="0.25">
      <c r="A284" s="3" t="s">
        <v>279</v>
      </c>
      <c r="B284" s="47" t="s">
        <v>51</v>
      </c>
      <c r="C284" s="1" t="s">
        <v>280</v>
      </c>
      <c r="D284" s="1" t="s">
        <v>281</v>
      </c>
      <c r="E284" s="2">
        <v>30</v>
      </c>
      <c r="G284" s="19">
        <f t="shared" si="5"/>
        <v>30</v>
      </c>
    </row>
    <row r="285" spans="1:8" x14ac:dyDescent="0.25">
      <c r="B285" s="47" t="s">
        <v>51</v>
      </c>
      <c r="C285" s="1" t="s">
        <v>282</v>
      </c>
      <c r="D285" s="1" t="s">
        <v>283</v>
      </c>
      <c r="E285" s="2">
        <v>500</v>
      </c>
      <c r="G285" s="19">
        <f t="shared" si="5"/>
        <v>500</v>
      </c>
      <c r="H285" s="46">
        <f>SUM(G284:G285)</f>
        <v>530</v>
      </c>
    </row>
    <row r="286" spans="1:8" x14ac:dyDescent="0.25">
      <c r="A286" s="3" t="s">
        <v>284</v>
      </c>
      <c r="B286" s="1" t="s">
        <v>9</v>
      </c>
      <c r="D286" s="1" t="s">
        <v>285</v>
      </c>
      <c r="E286" s="2">
        <v>5</v>
      </c>
      <c r="F286" s="2">
        <v>5</v>
      </c>
      <c r="G286" s="19">
        <f t="shared" si="5"/>
        <v>0</v>
      </c>
    </row>
    <row r="287" spans="1:8" x14ac:dyDescent="0.25">
      <c r="D287" s="1" t="s">
        <v>31</v>
      </c>
      <c r="E287" s="2">
        <v>20</v>
      </c>
      <c r="F287" s="2">
        <v>20</v>
      </c>
      <c r="G287" s="19">
        <f t="shared" si="5"/>
        <v>0</v>
      </c>
    </row>
    <row r="288" spans="1:8" x14ac:dyDescent="0.25">
      <c r="D288" s="1" t="s">
        <v>73</v>
      </c>
      <c r="E288" s="2">
        <v>10</v>
      </c>
      <c r="F288" s="2">
        <v>10</v>
      </c>
      <c r="G288" s="19">
        <f t="shared" si="5"/>
        <v>0</v>
      </c>
    </row>
    <row r="289" spans="2:7" x14ac:dyDescent="0.25">
      <c r="D289" s="1" t="s">
        <v>286</v>
      </c>
      <c r="E289" s="2">
        <v>25</v>
      </c>
      <c r="F289" s="2">
        <v>16.649999999999999</v>
      </c>
      <c r="G289" s="19">
        <f t="shared" si="5"/>
        <v>8.3500000000000014</v>
      </c>
    </row>
    <row r="290" spans="2:7" x14ac:dyDescent="0.25">
      <c r="D290" s="1" t="s">
        <v>287</v>
      </c>
      <c r="E290" s="2">
        <v>20</v>
      </c>
      <c r="G290" s="19">
        <f t="shared" si="5"/>
        <v>20</v>
      </c>
    </row>
    <row r="291" spans="2:7" x14ac:dyDescent="0.25">
      <c r="B291" s="1" t="s">
        <v>127</v>
      </c>
      <c r="D291" s="1" t="s">
        <v>130</v>
      </c>
      <c r="E291" s="2">
        <v>144</v>
      </c>
      <c r="G291" s="19">
        <f t="shared" si="5"/>
        <v>144</v>
      </c>
    </row>
    <row r="292" spans="2:7" x14ac:dyDescent="0.25">
      <c r="B292" s="1" t="s">
        <v>14</v>
      </c>
      <c r="D292" s="1" t="s">
        <v>288</v>
      </c>
      <c r="E292" s="2">
        <v>30</v>
      </c>
      <c r="G292" s="19">
        <f t="shared" si="5"/>
        <v>30</v>
      </c>
    </row>
    <row r="293" spans="2:7" x14ac:dyDescent="0.25">
      <c r="D293" s="1" t="s">
        <v>289</v>
      </c>
      <c r="E293" s="2">
        <v>6</v>
      </c>
      <c r="G293" s="19">
        <f t="shared" si="5"/>
        <v>6</v>
      </c>
    </row>
    <row r="294" spans="2:7" x14ac:dyDescent="0.25">
      <c r="D294" s="1" t="s">
        <v>290</v>
      </c>
      <c r="E294" s="2">
        <v>20</v>
      </c>
      <c r="G294" s="19">
        <f t="shared" si="5"/>
        <v>20</v>
      </c>
    </row>
    <row r="295" spans="2:7" x14ac:dyDescent="0.25">
      <c r="D295" s="1" t="s">
        <v>291</v>
      </c>
      <c r="E295" s="2">
        <v>50</v>
      </c>
      <c r="G295" s="19">
        <f t="shared" si="5"/>
        <v>50</v>
      </c>
    </row>
    <row r="296" spans="2:7" x14ac:dyDescent="0.25">
      <c r="B296" s="47" t="s">
        <v>51</v>
      </c>
      <c r="C296" s="1" t="s">
        <v>292</v>
      </c>
      <c r="D296" s="1" t="s">
        <v>293</v>
      </c>
      <c r="E296" s="2">
        <v>68</v>
      </c>
      <c r="G296" s="19">
        <f t="shared" si="5"/>
        <v>68</v>
      </c>
    </row>
    <row r="297" spans="2:7" x14ac:dyDescent="0.25">
      <c r="D297" s="1" t="s">
        <v>294</v>
      </c>
      <c r="E297" s="2">
        <v>419</v>
      </c>
      <c r="F297" s="2">
        <f>407.2</f>
        <v>407.2</v>
      </c>
      <c r="G297" s="19">
        <f t="shared" si="5"/>
        <v>11.800000000000011</v>
      </c>
    </row>
    <row r="298" spans="2:7" x14ac:dyDescent="0.25">
      <c r="D298" s="1" t="s">
        <v>295</v>
      </c>
      <c r="E298" s="2">
        <v>60</v>
      </c>
      <c r="F298" s="2">
        <f>49.31</f>
        <v>49.31</v>
      </c>
      <c r="G298" s="19">
        <f t="shared" si="5"/>
        <v>10.689999999999998</v>
      </c>
    </row>
    <row r="299" spans="2:7" x14ac:dyDescent="0.25">
      <c r="D299" s="1" t="s">
        <v>296</v>
      </c>
      <c r="E299" s="2">
        <v>100</v>
      </c>
      <c r="G299" s="19">
        <f t="shared" si="5"/>
        <v>100</v>
      </c>
    </row>
    <row r="300" spans="2:7" x14ac:dyDescent="0.25">
      <c r="D300" s="1" t="s">
        <v>297</v>
      </c>
      <c r="E300" s="2">
        <v>55</v>
      </c>
      <c r="F300" s="2">
        <v>55</v>
      </c>
      <c r="G300" s="19">
        <f t="shared" si="5"/>
        <v>0</v>
      </c>
    </row>
    <row r="301" spans="2:7" x14ac:dyDescent="0.25">
      <c r="D301" s="1" t="s">
        <v>298</v>
      </c>
      <c r="E301" s="2">
        <v>181</v>
      </c>
      <c r="F301" s="2">
        <f>37.89+6+29.79+5.84+5.84+77.95</f>
        <v>163.31</v>
      </c>
      <c r="G301" s="19">
        <f t="shared" si="5"/>
        <v>17.689999999999998</v>
      </c>
    </row>
    <row r="302" spans="2:7" x14ac:dyDescent="0.25">
      <c r="B302" s="47" t="s">
        <v>51</v>
      </c>
      <c r="C302" s="1" t="s">
        <v>299</v>
      </c>
      <c r="D302" s="1" t="s">
        <v>297</v>
      </c>
      <c r="E302" s="2">
        <v>55</v>
      </c>
      <c r="G302" s="19">
        <f t="shared" si="5"/>
        <v>55</v>
      </c>
    </row>
    <row r="303" spans="2:7" x14ac:dyDescent="0.25">
      <c r="D303" s="1" t="s">
        <v>213</v>
      </c>
      <c r="E303" s="2">
        <v>25</v>
      </c>
      <c r="G303" s="19">
        <f t="shared" si="5"/>
        <v>25</v>
      </c>
    </row>
    <row r="304" spans="2:7" x14ac:dyDescent="0.25">
      <c r="D304" s="1" t="s">
        <v>300</v>
      </c>
      <c r="E304" s="2">
        <v>72</v>
      </c>
      <c r="F304" s="2">
        <f>7.5</f>
        <v>7.5</v>
      </c>
      <c r="G304" s="19">
        <f t="shared" si="5"/>
        <v>64.5</v>
      </c>
    </row>
    <row r="305" spans="1:8" x14ac:dyDescent="0.25">
      <c r="D305" s="1" t="s">
        <v>301</v>
      </c>
      <c r="E305" s="2">
        <v>60</v>
      </c>
      <c r="F305" s="2">
        <v>53.95</v>
      </c>
      <c r="G305" s="19">
        <f t="shared" si="5"/>
        <v>6.0499999999999972</v>
      </c>
    </row>
    <row r="306" spans="1:8" x14ac:dyDescent="0.25">
      <c r="B306" s="47" t="s">
        <v>51</v>
      </c>
      <c r="C306" s="1" t="s">
        <v>302</v>
      </c>
      <c r="D306" s="1" t="s">
        <v>303</v>
      </c>
      <c r="E306" s="2">
        <v>20</v>
      </c>
      <c r="G306" s="19">
        <f t="shared" si="5"/>
        <v>20</v>
      </c>
    </row>
    <row r="307" spans="1:8" x14ac:dyDescent="0.25">
      <c r="D307" s="1" t="s">
        <v>304</v>
      </c>
      <c r="E307" s="2">
        <v>40</v>
      </c>
      <c r="G307" s="19">
        <f t="shared" si="5"/>
        <v>40</v>
      </c>
    </row>
    <row r="308" spans="1:8" x14ac:dyDescent="0.25">
      <c r="D308" s="1" t="s">
        <v>305</v>
      </c>
      <c r="E308" s="2">
        <v>45</v>
      </c>
      <c r="F308" s="2">
        <v>43.37</v>
      </c>
      <c r="G308" s="19">
        <f t="shared" si="5"/>
        <v>1.6300000000000026</v>
      </c>
      <c r="H308" s="46">
        <f>SUM(G296:G308)</f>
        <v>420.36</v>
      </c>
    </row>
    <row r="309" spans="1:8" x14ac:dyDescent="0.25">
      <c r="A309" s="3" t="s">
        <v>306</v>
      </c>
      <c r="B309" s="1" t="s">
        <v>307</v>
      </c>
      <c r="D309" s="1" t="s">
        <v>130</v>
      </c>
      <c r="E309" s="2">
        <v>144</v>
      </c>
      <c r="G309" s="19">
        <f t="shared" si="5"/>
        <v>144</v>
      </c>
    </row>
    <row r="310" spans="1:8" x14ac:dyDescent="0.25">
      <c r="B310" s="1" t="s">
        <v>308</v>
      </c>
      <c r="D310" s="1" t="s">
        <v>309</v>
      </c>
      <c r="E310" s="2">
        <v>26.91</v>
      </c>
      <c r="G310" s="19">
        <f t="shared" si="5"/>
        <v>26.91</v>
      </c>
    </row>
    <row r="311" spans="1:8" x14ac:dyDescent="0.25">
      <c r="B311" s="47" t="s">
        <v>51</v>
      </c>
      <c r="C311" s="1" t="s">
        <v>310</v>
      </c>
      <c r="D311" s="1" t="s">
        <v>311</v>
      </c>
      <c r="E311" s="2">
        <v>53.41</v>
      </c>
      <c r="G311" s="19">
        <f t="shared" si="5"/>
        <v>53.41</v>
      </c>
      <c r="H311" s="46">
        <f>SUM(G311)</f>
        <v>53.41</v>
      </c>
    </row>
    <row r="312" spans="1:8" x14ac:dyDescent="0.25">
      <c r="A312" s="3" t="s">
        <v>312</v>
      </c>
      <c r="B312" s="1" t="s">
        <v>36</v>
      </c>
      <c r="C312" s="1" t="s">
        <v>313</v>
      </c>
      <c r="D312" s="1" t="s">
        <v>314</v>
      </c>
      <c r="E312" s="2">
        <v>1000</v>
      </c>
      <c r="F312" s="2">
        <f>22.73</f>
        <v>22.73</v>
      </c>
      <c r="G312" s="19">
        <f t="shared" si="5"/>
        <v>977.27</v>
      </c>
    </row>
    <row r="313" spans="1:8" x14ac:dyDescent="0.25">
      <c r="D313" s="1" t="s">
        <v>315</v>
      </c>
      <c r="E313" s="2">
        <v>570</v>
      </c>
      <c r="F313" s="2">
        <v>570</v>
      </c>
      <c r="G313" s="19">
        <f t="shared" si="5"/>
        <v>0</v>
      </c>
    </row>
    <row r="314" spans="1:8" x14ac:dyDescent="0.25">
      <c r="D314" s="1" t="s">
        <v>217</v>
      </c>
      <c r="E314" s="2">
        <v>280</v>
      </c>
      <c r="F314" s="2">
        <f>40+45+30+55+50+25</f>
        <v>245</v>
      </c>
      <c r="G314" s="19">
        <f t="shared" si="5"/>
        <v>35</v>
      </c>
    </row>
    <row r="315" spans="1:8" x14ac:dyDescent="0.25">
      <c r="D315" s="1" t="s">
        <v>33</v>
      </c>
      <c r="E315" s="2">
        <v>800</v>
      </c>
      <c r="F315" s="2">
        <v>800</v>
      </c>
      <c r="G315" s="19">
        <f t="shared" si="5"/>
        <v>0</v>
      </c>
    </row>
    <row r="316" spans="1:8" x14ac:dyDescent="0.25">
      <c r="D316" s="1" t="s">
        <v>32</v>
      </c>
      <c r="E316" s="2">
        <v>200</v>
      </c>
      <c r="F316" s="2">
        <f>76.33</f>
        <v>76.33</v>
      </c>
      <c r="G316" s="19">
        <f t="shared" si="5"/>
        <v>123.67</v>
      </c>
    </row>
    <row r="317" spans="1:8" x14ac:dyDescent="0.25">
      <c r="D317" s="1" t="s">
        <v>316</v>
      </c>
      <c r="E317" s="2">
        <v>50</v>
      </c>
      <c r="G317" s="19">
        <f t="shared" si="5"/>
        <v>50</v>
      </c>
    </row>
    <row r="318" spans="1:8" x14ac:dyDescent="0.25">
      <c r="A318" s="3" t="s">
        <v>317</v>
      </c>
      <c r="B318" s="1" t="s">
        <v>9</v>
      </c>
      <c r="D318" s="1" t="s">
        <v>22</v>
      </c>
      <c r="E318" s="2">
        <v>50</v>
      </c>
      <c r="G318" s="19">
        <f t="shared" si="5"/>
        <v>50</v>
      </c>
    </row>
    <row r="319" spans="1:8" x14ac:dyDescent="0.25">
      <c r="D319" s="1" t="s">
        <v>318</v>
      </c>
      <c r="E319" s="2">
        <v>5</v>
      </c>
      <c r="G319" s="19">
        <f t="shared" si="5"/>
        <v>5</v>
      </c>
    </row>
    <row r="320" spans="1:8" x14ac:dyDescent="0.25">
      <c r="D320" s="1" t="s">
        <v>10</v>
      </c>
      <c r="E320" s="2">
        <v>5</v>
      </c>
      <c r="G320" s="19">
        <f t="shared" si="5"/>
        <v>5</v>
      </c>
    </row>
    <row r="321" spans="1:8" x14ac:dyDescent="0.25">
      <c r="A321" s="3" t="s">
        <v>323</v>
      </c>
      <c r="B321" s="1" t="s">
        <v>9</v>
      </c>
      <c r="D321" s="1" t="s">
        <v>319</v>
      </c>
      <c r="E321" s="2">
        <v>10</v>
      </c>
      <c r="G321" s="19">
        <f t="shared" si="5"/>
        <v>10</v>
      </c>
    </row>
    <row r="322" spans="1:8" x14ac:dyDescent="0.25">
      <c r="B322" s="1" t="s">
        <v>36</v>
      </c>
      <c r="C322" s="1" t="s">
        <v>320</v>
      </c>
      <c r="D322" s="1" t="s">
        <v>321</v>
      </c>
      <c r="E322" s="2">
        <v>200</v>
      </c>
      <c r="G322" s="19">
        <f t="shared" si="5"/>
        <v>200</v>
      </c>
    </row>
    <row r="323" spans="1:8" x14ac:dyDescent="0.25">
      <c r="D323" s="1" t="s">
        <v>322</v>
      </c>
      <c r="E323" s="2">
        <v>200</v>
      </c>
      <c r="G323" s="19">
        <f t="shared" si="5"/>
        <v>200</v>
      </c>
    </row>
    <row r="324" spans="1:8" x14ac:dyDescent="0.25">
      <c r="A324" s="3" t="s">
        <v>324</v>
      </c>
      <c r="B324" s="1" t="s">
        <v>9</v>
      </c>
      <c r="D324" s="1" t="s">
        <v>325</v>
      </c>
      <c r="E324" s="2">
        <v>100</v>
      </c>
      <c r="G324" s="19">
        <f t="shared" si="5"/>
        <v>100</v>
      </c>
    </row>
    <row r="325" spans="1:8" x14ac:dyDescent="0.25">
      <c r="D325" s="1" t="s">
        <v>326</v>
      </c>
      <c r="E325" s="2">
        <v>20</v>
      </c>
      <c r="G325" s="19">
        <f t="shared" si="5"/>
        <v>20</v>
      </c>
    </row>
    <row r="326" spans="1:8" x14ac:dyDescent="0.25">
      <c r="B326" s="47" t="s">
        <v>51</v>
      </c>
      <c r="C326" s="1" t="s">
        <v>327</v>
      </c>
      <c r="D326" s="1" t="s">
        <v>328</v>
      </c>
      <c r="E326" s="2">
        <v>2000</v>
      </c>
      <c r="G326" s="19">
        <f t="shared" si="5"/>
        <v>2000</v>
      </c>
    </row>
    <row r="327" spans="1:8" x14ac:dyDescent="0.25">
      <c r="D327" s="1" t="s">
        <v>63</v>
      </c>
      <c r="E327" s="2">
        <v>350</v>
      </c>
      <c r="G327" s="19">
        <f t="shared" si="5"/>
        <v>350</v>
      </c>
    </row>
    <row r="328" spans="1:8" x14ac:dyDescent="0.25">
      <c r="D328" s="1" t="s">
        <v>329</v>
      </c>
      <c r="E328" s="2">
        <v>200</v>
      </c>
      <c r="G328" s="19">
        <f t="shared" si="5"/>
        <v>200</v>
      </c>
      <c r="H328" s="46">
        <f>SUM(G326:G328)</f>
        <v>2550</v>
      </c>
    </row>
    <row r="329" spans="1:8" x14ac:dyDescent="0.25">
      <c r="A329" s="3" t="s">
        <v>379</v>
      </c>
      <c r="B329" s="1" t="s">
        <v>9</v>
      </c>
      <c r="D329" s="1" t="s">
        <v>330</v>
      </c>
      <c r="E329" s="2">
        <v>659</v>
      </c>
      <c r="G329" s="19">
        <f t="shared" si="5"/>
        <v>659</v>
      </c>
    </row>
    <row r="330" spans="1:8" x14ac:dyDescent="0.25">
      <c r="D330" s="1" t="s">
        <v>331</v>
      </c>
      <c r="E330" s="2">
        <v>659</v>
      </c>
      <c r="G330" s="19">
        <f t="shared" si="5"/>
        <v>659</v>
      </c>
    </row>
    <row r="331" spans="1:8" x14ac:dyDescent="0.25">
      <c r="A331" s="3" t="s">
        <v>332</v>
      </c>
      <c r="B331" s="1" t="s">
        <v>14</v>
      </c>
      <c r="D331" s="1" t="s">
        <v>333</v>
      </c>
      <c r="E331" s="2">
        <v>20</v>
      </c>
      <c r="G331" s="19">
        <f t="shared" si="5"/>
        <v>20</v>
      </c>
    </row>
    <row r="332" spans="1:8" x14ac:dyDescent="0.25">
      <c r="D332" s="1" t="s">
        <v>334</v>
      </c>
      <c r="E332" s="2">
        <v>180</v>
      </c>
      <c r="F332" s="2">
        <v>132</v>
      </c>
      <c r="G332" s="19">
        <f t="shared" si="5"/>
        <v>48</v>
      </c>
    </row>
    <row r="333" spans="1:8" x14ac:dyDescent="0.25">
      <c r="C333" s="26" t="s">
        <v>624</v>
      </c>
      <c r="D333" s="1" t="s">
        <v>87</v>
      </c>
      <c r="E333" s="2">
        <v>20</v>
      </c>
      <c r="G333" s="19">
        <f t="shared" si="5"/>
        <v>20</v>
      </c>
    </row>
    <row r="334" spans="1:8" x14ac:dyDescent="0.25">
      <c r="D334" s="1" t="s">
        <v>335</v>
      </c>
      <c r="E334" s="2">
        <v>40</v>
      </c>
      <c r="F334" s="2">
        <f>17.99+17.99</f>
        <v>35.979999999999997</v>
      </c>
      <c r="G334" s="19">
        <f t="shared" si="5"/>
        <v>4.0200000000000031</v>
      </c>
    </row>
    <row r="335" spans="1:8" x14ac:dyDescent="0.25">
      <c r="C335" s="26" t="s">
        <v>624</v>
      </c>
      <c r="D335" s="1" t="s">
        <v>336</v>
      </c>
      <c r="E335" s="2">
        <v>30</v>
      </c>
      <c r="G335" s="19">
        <f t="shared" si="5"/>
        <v>30</v>
      </c>
    </row>
    <row r="336" spans="1:8" x14ac:dyDescent="0.25">
      <c r="C336" s="26" t="s">
        <v>624</v>
      </c>
      <c r="D336" s="1" t="s">
        <v>337</v>
      </c>
      <c r="E336" s="2">
        <v>480</v>
      </c>
      <c r="G336" s="19">
        <f t="shared" si="5"/>
        <v>480</v>
      </c>
    </row>
    <row r="337" spans="2:8" x14ac:dyDescent="0.25">
      <c r="D337" s="1" t="s">
        <v>338</v>
      </c>
      <c r="E337" s="2">
        <v>290</v>
      </c>
      <c r="G337" s="19">
        <f t="shared" si="5"/>
        <v>290</v>
      </c>
    </row>
    <row r="338" spans="2:8" x14ac:dyDescent="0.25">
      <c r="D338" s="1" t="s">
        <v>339</v>
      </c>
      <c r="E338" s="2">
        <v>60</v>
      </c>
      <c r="F338" s="2">
        <f>19.99+39.98</f>
        <v>59.97</v>
      </c>
      <c r="G338" s="19">
        <f t="shared" si="5"/>
        <v>3.0000000000001137E-2</v>
      </c>
    </row>
    <row r="339" spans="2:8" x14ac:dyDescent="0.25">
      <c r="C339" s="4"/>
      <c r="D339" s="1" t="s">
        <v>203</v>
      </c>
      <c r="E339" s="2">
        <v>20</v>
      </c>
      <c r="F339" s="2">
        <v>14.98</v>
      </c>
      <c r="G339" s="19">
        <f t="shared" si="5"/>
        <v>5.0199999999999996</v>
      </c>
    </row>
    <row r="340" spans="2:8" x14ac:dyDescent="0.25">
      <c r="C340" s="4"/>
      <c r="D340" s="1" t="s">
        <v>17</v>
      </c>
      <c r="E340" s="2">
        <v>15</v>
      </c>
      <c r="F340" s="2">
        <v>15</v>
      </c>
      <c r="G340" s="19">
        <f t="shared" si="5"/>
        <v>0</v>
      </c>
    </row>
    <row r="341" spans="2:8" x14ac:dyDescent="0.25">
      <c r="C341" s="4"/>
      <c r="D341" s="1" t="s">
        <v>340</v>
      </c>
      <c r="E341" s="2">
        <v>35</v>
      </c>
      <c r="F341" s="2">
        <v>25.98</v>
      </c>
      <c r="G341" s="19">
        <f t="shared" si="5"/>
        <v>9.02</v>
      </c>
    </row>
    <row r="342" spans="2:8" x14ac:dyDescent="0.25">
      <c r="C342" s="4"/>
      <c r="D342" s="1" t="s">
        <v>341</v>
      </c>
      <c r="E342" s="2">
        <v>15</v>
      </c>
      <c r="F342" s="2">
        <v>14.99</v>
      </c>
      <c r="G342" s="19">
        <f t="shared" si="5"/>
        <v>9.9999999999997868E-3</v>
      </c>
    </row>
    <row r="343" spans="2:8" x14ac:dyDescent="0.25">
      <c r="C343" s="4"/>
      <c r="D343" s="1" t="s">
        <v>342</v>
      </c>
      <c r="E343" s="2">
        <v>350</v>
      </c>
      <c r="F343" s="2">
        <v>264.42</v>
      </c>
      <c r="G343" s="19">
        <f t="shared" si="5"/>
        <v>85.579999999999984</v>
      </c>
    </row>
    <row r="344" spans="2:8" x14ac:dyDescent="0.25">
      <c r="C344" s="4"/>
      <c r="D344" s="1" t="s">
        <v>343</v>
      </c>
      <c r="E344" s="2">
        <v>20</v>
      </c>
      <c r="F344" s="2">
        <v>15.99</v>
      </c>
      <c r="G344" s="19">
        <f t="shared" si="5"/>
        <v>4.01</v>
      </c>
    </row>
    <row r="345" spans="2:8" x14ac:dyDescent="0.25">
      <c r="C345" s="4"/>
      <c r="D345" s="1" t="s">
        <v>344</v>
      </c>
      <c r="E345" s="2">
        <v>840</v>
      </c>
      <c r="F345" s="2">
        <v>505</v>
      </c>
      <c r="G345" s="19">
        <f t="shared" ref="G345:G411" si="6">E345-F345</f>
        <v>335</v>
      </c>
    </row>
    <row r="346" spans="2:8" x14ac:dyDescent="0.25">
      <c r="C346" s="4"/>
      <c r="D346" s="1" t="s">
        <v>345</v>
      </c>
      <c r="E346" s="2">
        <v>15</v>
      </c>
      <c r="F346" s="2">
        <v>11.99</v>
      </c>
      <c r="G346" s="19">
        <f t="shared" si="6"/>
        <v>3.01</v>
      </c>
    </row>
    <row r="347" spans="2:8" x14ac:dyDescent="0.25">
      <c r="C347" s="4"/>
      <c r="D347" s="1" t="s">
        <v>358</v>
      </c>
      <c r="E347" s="2">
        <v>39.950000000000003</v>
      </c>
      <c r="F347" s="2">
        <v>39.950000000000003</v>
      </c>
      <c r="G347" s="19">
        <f t="shared" si="6"/>
        <v>0</v>
      </c>
    </row>
    <row r="348" spans="2:8" x14ac:dyDescent="0.25">
      <c r="C348" s="4"/>
      <c r="D348" s="1" t="s">
        <v>853</v>
      </c>
      <c r="E348" s="2">
        <f>20+12</f>
        <v>32</v>
      </c>
      <c r="F348" s="2">
        <v>31.49</v>
      </c>
      <c r="G348" s="19">
        <f t="shared" si="6"/>
        <v>0.51000000000000156</v>
      </c>
    </row>
    <row r="349" spans="2:8" x14ac:dyDescent="0.25">
      <c r="D349" s="27" t="s">
        <v>583</v>
      </c>
      <c r="E349" s="28">
        <v>1029.95</v>
      </c>
      <c r="F349" s="28">
        <f>619+59.95</f>
        <v>678.95</v>
      </c>
      <c r="G349" s="29">
        <f t="shared" si="6"/>
        <v>351</v>
      </c>
    </row>
    <row r="350" spans="2:8" x14ac:dyDescent="0.25">
      <c r="D350" s="1" t="s">
        <v>545</v>
      </c>
      <c r="E350" s="2">
        <f>SUM(E331:E349)</f>
        <v>3531.8999999999996</v>
      </c>
      <c r="F350" s="2">
        <f>SUM(F331:F349)</f>
        <v>1846.69</v>
      </c>
      <c r="G350" s="19">
        <f t="shared" si="6"/>
        <v>1685.2099999999996</v>
      </c>
    </row>
    <row r="351" spans="2:8" x14ac:dyDescent="0.25">
      <c r="B351" s="47" t="s">
        <v>51</v>
      </c>
      <c r="C351" s="1" t="s">
        <v>346</v>
      </c>
      <c r="D351" s="1" t="s">
        <v>347</v>
      </c>
      <c r="E351" s="2">
        <v>100</v>
      </c>
      <c r="F351" s="2">
        <v>90</v>
      </c>
      <c r="G351" s="19">
        <f t="shared" si="6"/>
        <v>10</v>
      </c>
      <c r="H351" s="46">
        <f>G351</f>
        <v>10</v>
      </c>
    </row>
    <row r="352" spans="2:8" x14ac:dyDescent="0.25">
      <c r="B352" s="1" t="s">
        <v>36</v>
      </c>
      <c r="C352" s="1" t="s">
        <v>348</v>
      </c>
      <c r="D352" s="1" t="s">
        <v>349</v>
      </c>
      <c r="E352" s="2">
        <v>15000</v>
      </c>
      <c r="F352" s="2">
        <f>7500+5000+2500</f>
        <v>15000</v>
      </c>
      <c r="G352" s="19">
        <f t="shared" si="6"/>
        <v>0</v>
      </c>
    </row>
    <row r="353" spans="1:8" x14ac:dyDescent="0.25">
      <c r="B353" s="1" t="s">
        <v>36</v>
      </c>
      <c r="C353" s="1" t="s">
        <v>351</v>
      </c>
      <c r="D353" s="1" t="s">
        <v>350</v>
      </c>
      <c r="E353" s="2">
        <f>500+50</f>
        <v>550</v>
      </c>
      <c r="F353" s="2">
        <f>94.5</f>
        <v>94.5</v>
      </c>
      <c r="G353" s="19">
        <f t="shared" si="6"/>
        <v>455.5</v>
      </c>
      <c r="H353" s="51" t="s">
        <v>1085</v>
      </c>
    </row>
    <row r="354" spans="1:8" x14ac:dyDescent="0.25">
      <c r="B354" s="1" t="s">
        <v>36</v>
      </c>
      <c r="C354" s="1" t="s">
        <v>352</v>
      </c>
      <c r="D354" s="1" t="s">
        <v>353</v>
      </c>
      <c r="E354" s="2">
        <v>3000</v>
      </c>
      <c r="F354" s="2">
        <f>2048.51</f>
        <v>2048.5100000000002</v>
      </c>
      <c r="G354" s="19">
        <f t="shared" si="6"/>
        <v>951.48999999999978</v>
      </c>
      <c r="H354" s="51" t="s">
        <v>1085</v>
      </c>
    </row>
    <row r="355" spans="1:8" x14ac:dyDescent="0.25">
      <c r="A355" s="3" t="s">
        <v>354</v>
      </c>
      <c r="B355" s="1" t="s">
        <v>9</v>
      </c>
      <c r="D355" s="1" t="s">
        <v>355</v>
      </c>
      <c r="E355" s="2">
        <v>409</v>
      </c>
      <c r="F355" s="2">
        <v>409</v>
      </c>
      <c r="G355" s="19">
        <f t="shared" si="6"/>
        <v>0</v>
      </c>
    </row>
    <row r="356" spans="1:8" x14ac:dyDescent="0.25">
      <c r="D356" s="1" t="s">
        <v>356</v>
      </c>
      <c r="E356" s="2">
        <v>189</v>
      </c>
      <c r="G356" s="19">
        <f t="shared" si="6"/>
        <v>189</v>
      </c>
    </row>
    <row r="357" spans="1:8" x14ac:dyDescent="0.25">
      <c r="D357" s="1" t="s">
        <v>357</v>
      </c>
      <c r="E357" s="2">
        <v>100</v>
      </c>
      <c r="F357" s="2">
        <f>6</f>
        <v>6</v>
      </c>
      <c r="G357" s="19">
        <f t="shared" si="6"/>
        <v>94</v>
      </c>
    </row>
    <row r="358" spans="1:8" x14ac:dyDescent="0.25">
      <c r="D358" s="1" t="s">
        <v>358</v>
      </c>
      <c r="E358" s="2">
        <v>60</v>
      </c>
      <c r="G358" s="19">
        <f t="shared" si="6"/>
        <v>60</v>
      </c>
    </row>
    <row r="359" spans="1:8" x14ac:dyDescent="0.25">
      <c r="B359" s="1" t="s">
        <v>127</v>
      </c>
      <c r="D359" s="1" t="s">
        <v>130</v>
      </c>
      <c r="E359" s="2">
        <v>144</v>
      </c>
      <c r="G359" s="19">
        <f t="shared" si="6"/>
        <v>144</v>
      </c>
    </row>
    <row r="360" spans="1:8" x14ac:dyDescent="0.25">
      <c r="D360" s="1" t="s">
        <v>131</v>
      </c>
      <c r="E360" s="2">
        <v>20</v>
      </c>
      <c r="G360" s="19">
        <f t="shared" si="6"/>
        <v>20</v>
      </c>
    </row>
    <row r="361" spans="1:8" x14ac:dyDescent="0.25">
      <c r="B361" s="1" t="s">
        <v>14</v>
      </c>
      <c r="D361" s="1" t="s">
        <v>87</v>
      </c>
      <c r="E361" s="2">
        <v>400</v>
      </c>
      <c r="F361" s="2">
        <v>240</v>
      </c>
      <c r="G361" s="19">
        <f t="shared" si="6"/>
        <v>160</v>
      </c>
    </row>
    <row r="362" spans="1:8" x14ac:dyDescent="0.25">
      <c r="D362" s="1" t="s">
        <v>230</v>
      </c>
      <c r="E362" s="2">
        <v>100</v>
      </c>
      <c r="F362" s="2">
        <f>79.9+35.44</f>
        <v>115.34</v>
      </c>
      <c r="G362" s="19">
        <f t="shared" si="6"/>
        <v>-15.340000000000003</v>
      </c>
    </row>
    <row r="363" spans="1:8" x14ac:dyDescent="0.25">
      <c r="D363" s="1" t="s">
        <v>359</v>
      </c>
      <c r="E363" s="2">
        <v>200</v>
      </c>
      <c r="F363" s="2">
        <f>15.34</f>
        <v>15.34</v>
      </c>
      <c r="G363" s="19">
        <f t="shared" si="6"/>
        <v>184.66</v>
      </c>
    </row>
    <row r="364" spans="1:8" x14ac:dyDescent="0.25">
      <c r="D364" s="1" t="s">
        <v>584</v>
      </c>
      <c r="E364" s="2">
        <v>21.5</v>
      </c>
      <c r="F364" s="2">
        <v>21.5</v>
      </c>
      <c r="G364" s="19">
        <f t="shared" si="6"/>
        <v>0</v>
      </c>
    </row>
    <row r="365" spans="1:8" x14ac:dyDescent="0.25">
      <c r="B365" s="1" t="s">
        <v>36</v>
      </c>
      <c r="C365" s="1" t="s">
        <v>360</v>
      </c>
      <c r="D365" s="1" t="s">
        <v>361</v>
      </c>
      <c r="E365" s="2">
        <v>2000</v>
      </c>
      <c r="G365" s="19">
        <f t="shared" si="6"/>
        <v>2000</v>
      </c>
    </row>
    <row r="366" spans="1:8" x14ac:dyDescent="0.25">
      <c r="B366" s="1" t="s">
        <v>36</v>
      </c>
      <c r="C366" s="1" t="s">
        <v>362</v>
      </c>
      <c r="D366" s="1" t="s">
        <v>363</v>
      </c>
      <c r="E366" s="2">
        <v>450</v>
      </c>
      <c r="G366" s="19">
        <f t="shared" si="6"/>
        <v>450</v>
      </c>
    </row>
    <row r="367" spans="1:8" x14ac:dyDescent="0.25">
      <c r="D367" s="1" t="s">
        <v>86</v>
      </c>
      <c r="E367" s="2">
        <v>100</v>
      </c>
      <c r="G367" s="19">
        <f t="shared" si="6"/>
        <v>100</v>
      </c>
    </row>
    <row r="368" spans="1:8" x14ac:dyDescent="0.25">
      <c r="B368" s="1" t="s">
        <v>36</v>
      </c>
      <c r="C368" s="1" t="s">
        <v>364</v>
      </c>
      <c r="D368" s="1" t="s">
        <v>365</v>
      </c>
      <c r="E368" s="2">
        <v>5000</v>
      </c>
      <c r="F368" s="2">
        <v>5000</v>
      </c>
      <c r="G368" s="19">
        <f t="shared" si="6"/>
        <v>0</v>
      </c>
    </row>
    <row r="369" spans="1:7" x14ac:dyDescent="0.25">
      <c r="D369" s="1" t="s">
        <v>366</v>
      </c>
      <c r="E369" s="2">
        <v>1975</v>
      </c>
      <c r="F369" s="2">
        <v>1975</v>
      </c>
      <c r="G369" s="19">
        <f t="shared" si="6"/>
        <v>0</v>
      </c>
    </row>
    <row r="370" spans="1:7" x14ac:dyDescent="0.25">
      <c r="D370" s="1" t="s">
        <v>1034</v>
      </c>
      <c r="E370" s="2">
        <v>132.28</v>
      </c>
      <c r="F370" s="2">
        <v>132.28</v>
      </c>
      <c r="G370" s="19">
        <f t="shared" si="6"/>
        <v>0</v>
      </c>
    </row>
    <row r="371" spans="1:7" x14ac:dyDescent="0.25">
      <c r="B371" s="1" t="s">
        <v>36</v>
      </c>
      <c r="C371" s="1" t="s">
        <v>368</v>
      </c>
      <c r="D371" s="1" t="s">
        <v>365</v>
      </c>
      <c r="E371" s="2">
        <v>5000</v>
      </c>
      <c r="F371" s="2">
        <v>5000</v>
      </c>
      <c r="G371" s="19">
        <f t="shared" si="6"/>
        <v>0</v>
      </c>
    </row>
    <row r="372" spans="1:7" x14ac:dyDescent="0.25">
      <c r="D372" s="1" t="s">
        <v>366</v>
      </c>
      <c r="E372" s="2">
        <v>1500</v>
      </c>
      <c r="F372" s="2">
        <f>1500</f>
        <v>1500</v>
      </c>
      <c r="G372" s="19">
        <f t="shared" si="6"/>
        <v>0</v>
      </c>
    </row>
    <row r="373" spans="1:7" x14ac:dyDescent="0.25">
      <c r="D373" s="1" t="s">
        <v>295</v>
      </c>
      <c r="E373" s="2">
        <v>275</v>
      </c>
      <c r="F373" s="2">
        <v>271.02</v>
      </c>
      <c r="G373" s="19">
        <f t="shared" si="6"/>
        <v>3.9800000000000182</v>
      </c>
    </row>
    <row r="374" spans="1:7" x14ac:dyDescent="0.25">
      <c r="D374" s="1" t="s">
        <v>367</v>
      </c>
      <c r="E374" s="2">
        <v>200</v>
      </c>
      <c r="F374" s="2">
        <v>200</v>
      </c>
      <c r="G374" s="19">
        <f t="shared" si="6"/>
        <v>0</v>
      </c>
    </row>
    <row r="375" spans="1:7" x14ac:dyDescent="0.25">
      <c r="B375" s="1" t="s">
        <v>36</v>
      </c>
      <c r="C375" s="1" t="s">
        <v>369</v>
      </c>
      <c r="D375" s="1" t="s">
        <v>370</v>
      </c>
      <c r="E375" s="2">
        <v>1500</v>
      </c>
      <c r="F375" s="2">
        <f>119.95+19.92+10+65.8+24.43+34.93+22.48+119.95+117+322.71+15.96</f>
        <v>873.13000000000011</v>
      </c>
      <c r="G375" s="19">
        <f t="shared" si="6"/>
        <v>626.86999999999989</v>
      </c>
    </row>
    <row r="376" spans="1:7" x14ac:dyDescent="0.25">
      <c r="D376" s="1" t="s">
        <v>371</v>
      </c>
      <c r="E376" s="2">
        <v>1500</v>
      </c>
      <c r="F376" s="2">
        <f>105+33.99+7.76+11.99+550+165.86+17.99</f>
        <v>892.59</v>
      </c>
      <c r="G376" s="19">
        <f t="shared" si="6"/>
        <v>607.41</v>
      </c>
    </row>
    <row r="377" spans="1:7" x14ac:dyDescent="0.25">
      <c r="D377" s="1" t="s">
        <v>372</v>
      </c>
      <c r="E377" s="2">
        <v>1500</v>
      </c>
      <c r="F377" s="2">
        <f>115.09+495+600+253.95</f>
        <v>1464.0400000000002</v>
      </c>
      <c r="G377" s="19">
        <f t="shared" si="6"/>
        <v>35.959999999999809</v>
      </c>
    </row>
    <row r="378" spans="1:7" x14ac:dyDescent="0.25">
      <c r="D378" s="1" t="s">
        <v>373</v>
      </c>
      <c r="E378" s="2">
        <v>1500</v>
      </c>
      <c r="F378" s="2">
        <f>135.89+700+425+100</f>
        <v>1360.8899999999999</v>
      </c>
      <c r="G378" s="19">
        <f t="shared" si="6"/>
        <v>139.11000000000013</v>
      </c>
    </row>
    <row r="379" spans="1:7" x14ac:dyDescent="0.25">
      <c r="D379" s="1" t="s">
        <v>374</v>
      </c>
      <c r="E379" s="2">
        <v>1500</v>
      </c>
      <c r="F379" s="2">
        <f>245+64.66+725+70</f>
        <v>1104.6599999999999</v>
      </c>
      <c r="G379" s="19">
        <f t="shared" si="6"/>
        <v>395.34000000000015</v>
      </c>
    </row>
    <row r="380" spans="1:7" x14ac:dyDescent="0.25">
      <c r="D380" s="1" t="s">
        <v>375</v>
      </c>
      <c r="E380" s="2">
        <v>1500</v>
      </c>
      <c r="F380" s="2">
        <f>36.31+68.76+70+119.28+23.43+36.31+70+7.78+64.5+157.93</f>
        <v>654.29999999999995</v>
      </c>
      <c r="G380" s="19">
        <f t="shared" si="6"/>
        <v>845.7</v>
      </c>
    </row>
    <row r="381" spans="1:7" x14ac:dyDescent="0.25">
      <c r="D381" s="1" t="s">
        <v>376</v>
      </c>
      <c r="E381" s="2">
        <v>1500</v>
      </c>
      <c r="F381" s="2">
        <f>24+1346.17</f>
        <v>1370.17</v>
      </c>
      <c r="G381" s="19">
        <f t="shared" si="6"/>
        <v>129.82999999999993</v>
      </c>
    </row>
    <row r="382" spans="1:7" x14ac:dyDescent="0.25">
      <c r="A382" s="3" t="s">
        <v>377</v>
      </c>
      <c r="B382" s="1" t="s">
        <v>9</v>
      </c>
      <c r="D382" s="1" t="s">
        <v>21</v>
      </c>
      <c r="E382" s="2">
        <v>10</v>
      </c>
      <c r="G382" s="19">
        <f t="shared" si="6"/>
        <v>10</v>
      </c>
    </row>
    <row r="383" spans="1:7" x14ac:dyDescent="0.25">
      <c r="D383" s="1" t="s">
        <v>238</v>
      </c>
      <c r="E383" s="2">
        <v>100</v>
      </c>
      <c r="G383" s="19">
        <f t="shared" si="6"/>
        <v>100</v>
      </c>
    </row>
    <row r="384" spans="1:7" x14ac:dyDescent="0.25">
      <c r="D384" s="1" t="s">
        <v>22</v>
      </c>
      <c r="E384" s="2">
        <v>20</v>
      </c>
      <c r="G384" s="19">
        <f t="shared" si="6"/>
        <v>20</v>
      </c>
    </row>
    <row r="385" spans="1:8" x14ac:dyDescent="0.25">
      <c r="D385" s="1" t="s">
        <v>31</v>
      </c>
      <c r="E385" s="2">
        <v>20</v>
      </c>
      <c r="G385" s="19">
        <f t="shared" si="6"/>
        <v>20</v>
      </c>
    </row>
    <row r="386" spans="1:8" x14ac:dyDescent="0.25">
      <c r="A386" s="3" t="s">
        <v>378</v>
      </c>
      <c r="B386" s="1" t="s">
        <v>65</v>
      </c>
      <c r="D386" s="1" t="s">
        <v>380</v>
      </c>
      <c r="E386" s="2">
        <v>2000</v>
      </c>
      <c r="F386" s="2">
        <v>994</v>
      </c>
      <c r="G386" s="19">
        <f t="shared" si="6"/>
        <v>1006</v>
      </c>
    </row>
    <row r="387" spans="1:8" x14ac:dyDescent="0.25">
      <c r="D387" s="1" t="s">
        <v>381</v>
      </c>
      <c r="E387" s="2">
        <v>1500</v>
      </c>
      <c r="G387" s="19">
        <f t="shared" si="6"/>
        <v>1500</v>
      </c>
    </row>
    <row r="388" spans="1:8" x14ac:dyDescent="0.25">
      <c r="B388" s="1" t="s">
        <v>127</v>
      </c>
      <c r="D388" s="1" t="s">
        <v>130</v>
      </c>
      <c r="E388" s="2">
        <v>144</v>
      </c>
      <c r="G388" s="19">
        <f t="shared" si="6"/>
        <v>144</v>
      </c>
    </row>
    <row r="389" spans="1:8" x14ac:dyDescent="0.25">
      <c r="D389" s="1" t="s">
        <v>131</v>
      </c>
      <c r="E389" s="2">
        <v>20</v>
      </c>
      <c r="G389" s="19">
        <f t="shared" si="6"/>
        <v>20</v>
      </c>
    </row>
    <row r="390" spans="1:8" x14ac:dyDescent="0.25">
      <c r="B390" s="1" t="s">
        <v>14</v>
      </c>
      <c r="D390" s="1" t="s">
        <v>382</v>
      </c>
      <c r="E390" s="2">
        <v>1300</v>
      </c>
      <c r="F390" s="2">
        <f>67.7+142.95+68.96+43.98+28.79+57.58+35.99+67.59+34.99+30.59+9.8</f>
        <v>588.91999999999996</v>
      </c>
      <c r="G390" s="19">
        <f t="shared" si="6"/>
        <v>711.08</v>
      </c>
    </row>
    <row r="391" spans="1:8" x14ac:dyDescent="0.25">
      <c r="D391" s="1" t="s">
        <v>383</v>
      </c>
      <c r="E391" s="2">
        <v>500</v>
      </c>
      <c r="F391" s="2">
        <f>47.06</f>
        <v>47.06</v>
      </c>
      <c r="G391" s="19">
        <f t="shared" si="6"/>
        <v>452.94</v>
      </c>
    </row>
    <row r="392" spans="1:8" x14ac:dyDescent="0.25">
      <c r="D392" s="1" t="s">
        <v>384</v>
      </c>
      <c r="E392" s="2">
        <v>50</v>
      </c>
      <c r="F392" s="2">
        <f>29.98+9.8</f>
        <v>39.78</v>
      </c>
      <c r="G392" s="19">
        <f t="shared" si="6"/>
        <v>10.219999999999999</v>
      </c>
    </row>
    <row r="393" spans="1:8" x14ac:dyDescent="0.25">
      <c r="A393" s="3" t="s">
        <v>385</v>
      </c>
      <c r="B393" s="47" t="s">
        <v>51</v>
      </c>
      <c r="C393" s="1" t="s">
        <v>386</v>
      </c>
      <c r="D393" s="1" t="s">
        <v>387</v>
      </c>
      <c r="E393" s="2">
        <v>50</v>
      </c>
      <c r="G393" s="19">
        <f t="shared" si="6"/>
        <v>50</v>
      </c>
    </row>
    <row r="394" spans="1:8" x14ac:dyDescent="0.25">
      <c r="D394" s="1" t="s">
        <v>388</v>
      </c>
      <c r="E394" s="2">
        <v>100</v>
      </c>
      <c r="G394" s="19">
        <f t="shared" si="6"/>
        <v>100</v>
      </c>
    </row>
    <row r="395" spans="1:8" x14ac:dyDescent="0.25">
      <c r="D395" s="1" t="s">
        <v>389</v>
      </c>
      <c r="E395" s="2">
        <v>100</v>
      </c>
      <c r="G395" s="19">
        <f t="shared" si="6"/>
        <v>100</v>
      </c>
      <c r="H395" s="46">
        <f>SUM(G393:G395)</f>
        <v>250</v>
      </c>
    </row>
    <row r="396" spans="1:8" x14ac:dyDescent="0.25">
      <c r="B396" s="1" t="s">
        <v>36</v>
      </c>
      <c r="C396" s="1" t="s">
        <v>390</v>
      </c>
      <c r="D396" s="1" t="s">
        <v>391</v>
      </c>
      <c r="E396" s="2">
        <v>100</v>
      </c>
      <c r="G396" s="19">
        <f t="shared" si="6"/>
        <v>100</v>
      </c>
    </row>
    <row r="397" spans="1:8" x14ac:dyDescent="0.25">
      <c r="D397" s="1" t="s">
        <v>388</v>
      </c>
      <c r="E397" s="2">
        <v>50</v>
      </c>
      <c r="G397" s="19">
        <f t="shared" si="6"/>
        <v>50</v>
      </c>
    </row>
    <row r="398" spans="1:8" x14ac:dyDescent="0.25">
      <c r="A398" s="3" t="s">
        <v>392</v>
      </c>
      <c r="B398" s="1" t="s">
        <v>9</v>
      </c>
      <c r="D398" s="1" t="s">
        <v>393</v>
      </c>
      <c r="E398" s="2">
        <v>10</v>
      </c>
      <c r="G398" s="19">
        <f t="shared" si="6"/>
        <v>10</v>
      </c>
    </row>
    <row r="399" spans="1:8" x14ac:dyDescent="0.25">
      <c r="D399" s="1" t="s">
        <v>394</v>
      </c>
      <c r="E399" s="2">
        <v>20</v>
      </c>
      <c r="G399" s="19">
        <f t="shared" si="6"/>
        <v>20</v>
      </c>
    </row>
    <row r="400" spans="1:8" x14ac:dyDescent="0.25">
      <c r="D400" s="1" t="s">
        <v>10</v>
      </c>
      <c r="E400" s="2">
        <v>15</v>
      </c>
      <c r="G400" s="19">
        <f t="shared" si="6"/>
        <v>15</v>
      </c>
    </row>
    <row r="401" spans="1:8" x14ac:dyDescent="0.25">
      <c r="B401" s="1" t="s">
        <v>65</v>
      </c>
      <c r="D401" s="1" t="s">
        <v>395</v>
      </c>
      <c r="E401" s="2">
        <v>100</v>
      </c>
      <c r="F401" s="2">
        <v>100</v>
      </c>
      <c r="G401" s="19">
        <f t="shared" si="6"/>
        <v>0</v>
      </c>
    </row>
    <row r="402" spans="1:8" x14ac:dyDescent="0.25">
      <c r="B402" s="1" t="s">
        <v>36</v>
      </c>
      <c r="D402" s="1" t="s">
        <v>397</v>
      </c>
      <c r="E402" s="2">
        <v>3575</v>
      </c>
      <c r="F402" s="2">
        <f>120+290+360+300+262.5+280+180+465</f>
        <v>2257.5</v>
      </c>
      <c r="G402" s="19">
        <f t="shared" si="6"/>
        <v>1317.5</v>
      </c>
    </row>
    <row r="403" spans="1:8" x14ac:dyDescent="0.25">
      <c r="D403" s="1" t="s">
        <v>396</v>
      </c>
      <c r="E403" s="2">
        <v>4120</v>
      </c>
      <c r="F403" s="2">
        <f>487.5+300+780+120+180+300+350+300+940</f>
        <v>3757.5</v>
      </c>
      <c r="G403" s="19">
        <f t="shared" si="6"/>
        <v>362.5</v>
      </c>
    </row>
    <row r="404" spans="1:8" x14ac:dyDescent="0.25">
      <c r="D404" s="1" t="s">
        <v>398</v>
      </c>
      <c r="E404" s="2">
        <v>270</v>
      </c>
      <c r="G404" s="19">
        <f t="shared" si="6"/>
        <v>270</v>
      </c>
    </row>
    <row r="405" spans="1:8" x14ac:dyDescent="0.25">
      <c r="A405" s="3" t="s">
        <v>399</v>
      </c>
      <c r="B405" s="1" t="s">
        <v>9</v>
      </c>
      <c r="D405" s="1" t="s">
        <v>21</v>
      </c>
      <c r="E405" s="2">
        <v>10</v>
      </c>
      <c r="G405" s="19">
        <f t="shared" si="6"/>
        <v>10</v>
      </c>
    </row>
    <row r="406" spans="1:8" x14ac:dyDescent="0.25">
      <c r="B406" s="47" t="s">
        <v>51</v>
      </c>
      <c r="C406" s="1" t="s">
        <v>400</v>
      </c>
      <c r="D406" s="1" t="s">
        <v>401</v>
      </c>
      <c r="E406" s="2">
        <v>1200</v>
      </c>
      <c r="G406" s="19">
        <f t="shared" si="6"/>
        <v>1200</v>
      </c>
      <c r="H406" s="46">
        <f>G406</f>
        <v>1200</v>
      </c>
    </row>
    <row r="407" spans="1:8" x14ac:dyDescent="0.25">
      <c r="A407" s="3" t="s">
        <v>402</v>
      </c>
      <c r="B407" s="1" t="s">
        <v>9</v>
      </c>
      <c r="D407" s="1" t="s">
        <v>403</v>
      </c>
      <c r="E407" s="2">
        <v>50</v>
      </c>
      <c r="G407" s="19">
        <f t="shared" si="6"/>
        <v>50</v>
      </c>
    </row>
    <row r="408" spans="1:8" x14ac:dyDescent="0.25">
      <c r="A408" s="3" t="s">
        <v>402</v>
      </c>
      <c r="B408" s="1" t="s">
        <v>9</v>
      </c>
      <c r="D408" s="1" t="s">
        <v>405</v>
      </c>
      <c r="E408" s="2">
        <v>30</v>
      </c>
      <c r="G408" s="19">
        <f t="shared" si="6"/>
        <v>30</v>
      </c>
    </row>
    <row r="409" spans="1:8" x14ac:dyDescent="0.25">
      <c r="D409" s="1" t="s">
        <v>406</v>
      </c>
      <c r="E409" s="2">
        <v>100</v>
      </c>
      <c r="G409" s="19">
        <f t="shared" si="6"/>
        <v>100</v>
      </c>
    </row>
    <row r="410" spans="1:8" x14ac:dyDescent="0.25">
      <c r="A410" s="3" t="s">
        <v>407</v>
      </c>
      <c r="B410" s="1" t="s">
        <v>36</v>
      </c>
      <c r="C410" s="1" t="s">
        <v>408</v>
      </c>
      <c r="D410" s="1" t="s">
        <v>409</v>
      </c>
      <c r="E410" s="2">
        <v>1000</v>
      </c>
      <c r="F410" s="2">
        <v>1000</v>
      </c>
      <c r="G410" s="19">
        <f t="shared" si="6"/>
        <v>0</v>
      </c>
    </row>
    <row r="411" spans="1:8" x14ac:dyDescent="0.25">
      <c r="D411" s="1" t="s">
        <v>410</v>
      </c>
      <c r="E411" s="2">
        <v>800</v>
      </c>
      <c r="F411" s="2">
        <v>800</v>
      </c>
      <c r="G411" s="19">
        <f t="shared" si="6"/>
        <v>0</v>
      </c>
    </row>
    <row r="412" spans="1:8" x14ac:dyDescent="0.25">
      <c r="D412" s="1" t="s">
        <v>411</v>
      </c>
      <c r="E412" s="2">
        <v>50</v>
      </c>
      <c r="F412" s="2">
        <v>50</v>
      </c>
      <c r="G412" s="19">
        <f t="shared" ref="G412:G444" si="7">E412-F412</f>
        <v>0</v>
      </c>
    </row>
    <row r="413" spans="1:8" x14ac:dyDescent="0.25">
      <c r="B413" s="1" t="s">
        <v>36</v>
      </c>
      <c r="C413" s="1" t="s">
        <v>412</v>
      </c>
      <c r="D413" s="1" t="s">
        <v>409</v>
      </c>
      <c r="E413" s="2">
        <v>1000</v>
      </c>
      <c r="F413" s="2">
        <v>1000</v>
      </c>
      <c r="G413" s="19">
        <f t="shared" si="7"/>
        <v>0</v>
      </c>
    </row>
    <row r="414" spans="1:8" x14ac:dyDescent="0.25">
      <c r="D414" s="1" t="s">
        <v>410</v>
      </c>
      <c r="E414" s="2">
        <v>800</v>
      </c>
      <c r="F414" s="2">
        <v>800</v>
      </c>
      <c r="G414" s="19">
        <f t="shared" si="7"/>
        <v>0</v>
      </c>
    </row>
    <row r="415" spans="1:8" x14ac:dyDescent="0.25">
      <c r="A415" s="3" t="s">
        <v>413</v>
      </c>
      <c r="B415" s="1" t="s">
        <v>9</v>
      </c>
      <c r="D415" s="1" t="s">
        <v>21</v>
      </c>
      <c r="E415" s="2">
        <v>100</v>
      </c>
      <c r="G415" s="19">
        <f t="shared" si="7"/>
        <v>100</v>
      </c>
    </row>
    <row r="416" spans="1:8" x14ac:dyDescent="0.25">
      <c r="A416" s="3" t="s">
        <v>414</v>
      </c>
      <c r="B416" s="1" t="s">
        <v>9</v>
      </c>
      <c r="D416" s="1" t="s">
        <v>24</v>
      </c>
      <c r="E416" s="2">
        <v>400</v>
      </c>
      <c r="F416" s="2">
        <f>125+125+120</f>
        <v>370</v>
      </c>
      <c r="G416" s="19">
        <f t="shared" si="7"/>
        <v>30</v>
      </c>
    </row>
    <row r="417" spans="1:8" x14ac:dyDescent="0.25">
      <c r="D417" s="1" t="s">
        <v>415</v>
      </c>
      <c r="E417" s="2">
        <v>40</v>
      </c>
      <c r="F417" s="2">
        <v>6</v>
      </c>
      <c r="G417" s="19">
        <f t="shared" si="7"/>
        <v>34</v>
      </c>
    </row>
    <row r="418" spans="1:8" x14ac:dyDescent="0.25">
      <c r="D418" s="1" t="s">
        <v>181</v>
      </c>
      <c r="E418" s="2">
        <v>15</v>
      </c>
      <c r="G418" s="19">
        <f t="shared" si="7"/>
        <v>15</v>
      </c>
    </row>
    <row r="419" spans="1:8" x14ac:dyDescent="0.25">
      <c r="D419" s="1" t="s">
        <v>416</v>
      </c>
      <c r="E419" s="2">
        <v>50</v>
      </c>
      <c r="F419" s="2">
        <f>18.97</f>
        <v>18.97</v>
      </c>
      <c r="G419" s="19">
        <f t="shared" si="7"/>
        <v>31.03</v>
      </c>
    </row>
    <row r="420" spans="1:8" x14ac:dyDescent="0.25">
      <c r="A420" s="3" t="s">
        <v>417</v>
      </c>
      <c r="B420" s="1" t="s">
        <v>36</v>
      </c>
      <c r="C420" s="1" t="s">
        <v>418</v>
      </c>
      <c r="D420" s="1" t="s">
        <v>419</v>
      </c>
      <c r="E420" s="2">
        <v>250</v>
      </c>
      <c r="G420" s="19">
        <f t="shared" si="7"/>
        <v>250</v>
      </c>
    </row>
    <row r="421" spans="1:8" x14ac:dyDescent="0.25">
      <c r="A421" s="3" t="s">
        <v>420</v>
      </c>
      <c r="B421" s="47" t="s">
        <v>51</v>
      </c>
      <c r="C421" s="1" t="s">
        <v>421</v>
      </c>
      <c r="D421" s="1" t="s">
        <v>422</v>
      </c>
      <c r="E421" s="2">
        <v>1000</v>
      </c>
      <c r="F421" s="2">
        <f>485+300</f>
        <v>785</v>
      </c>
      <c r="G421" s="19">
        <f t="shared" si="7"/>
        <v>215</v>
      </c>
    </row>
    <row r="422" spans="1:8" x14ac:dyDescent="0.25">
      <c r="D422" s="1" t="s">
        <v>423</v>
      </c>
      <c r="E422" s="2">
        <v>1000</v>
      </c>
      <c r="F422" s="2">
        <f>150</f>
        <v>150</v>
      </c>
      <c r="G422" s="19">
        <f t="shared" si="7"/>
        <v>850</v>
      </c>
    </row>
    <row r="423" spans="1:8" x14ac:dyDescent="0.25">
      <c r="D423" s="1" t="s">
        <v>424</v>
      </c>
      <c r="E423" s="2">
        <v>400</v>
      </c>
      <c r="F423" s="2">
        <v>400</v>
      </c>
      <c r="G423" s="19">
        <f t="shared" si="7"/>
        <v>0</v>
      </c>
    </row>
    <row r="424" spans="1:8" x14ac:dyDescent="0.25">
      <c r="B424" s="47" t="s">
        <v>51</v>
      </c>
      <c r="C424" s="1" t="s">
        <v>425</v>
      </c>
      <c r="D424" s="1" t="s">
        <v>426</v>
      </c>
      <c r="E424" s="2">
        <v>2000</v>
      </c>
      <c r="G424" s="19">
        <f t="shared" si="7"/>
        <v>2000</v>
      </c>
    </row>
    <row r="425" spans="1:8" x14ac:dyDescent="0.25">
      <c r="D425" s="1" t="s">
        <v>427</v>
      </c>
      <c r="E425" s="2">
        <v>200</v>
      </c>
      <c r="G425" s="19">
        <f t="shared" si="7"/>
        <v>200</v>
      </c>
      <c r="H425" s="46">
        <f>SUM(G421:G425)</f>
        <v>3265</v>
      </c>
    </row>
    <row r="426" spans="1:8" x14ac:dyDescent="0.25">
      <c r="A426" s="3" t="s">
        <v>428</v>
      </c>
      <c r="B426" s="1" t="s">
        <v>36</v>
      </c>
      <c r="C426" s="1" t="s">
        <v>429</v>
      </c>
      <c r="D426" s="1" t="s">
        <v>430</v>
      </c>
      <c r="E426" s="2">
        <v>40</v>
      </c>
      <c r="G426" s="19">
        <f t="shared" si="7"/>
        <v>40</v>
      </c>
    </row>
    <row r="427" spans="1:8" x14ac:dyDescent="0.25">
      <c r="B427" s="1" t="s">
        <v>36</v>
      </c>
      <c r="C427" s="1" t="s">
        <v>431</v>
      </c>
      <c r="D427" s="1" t="s">
        <v>432</v>
      </c>
      <c r="E427" s="2">
        <v>20</v>
      </c>
      <c r="G427" s="19">
        <f t="shared" si="7"/>
        <v>20</v>
      </c>
    </row>
    <row r="428" spans="1:8" x14ac:dyDescent="0.25">
      <c r="D428" s="1" t="s">
        <v>433</v>
      </c>
      <c r="E428" s="2">
        <v>5</v>
      </c>
      <c r="G428" s="19">
        <f t="shared" si="7"/>
        <v>5</v>
      </c>
    </row>
    <row r="429" spans="1:8" x14ac:dyDescent="0.25">
      <c r="D429" s="1" t="s">
        <v>434</v>
      </c>
      <c r="E429" s="2">
        <v>20</v>
      </c>
      <c r="G429" s="19">
        <f t="shared" si="7"/>
        <v>20</v>
      </c>
    </row>
    <row r="430" spans="1:8" x14ac:dyDescent="0.25">
      <c r="A430" s="3" t="s">
        <v>435</v>
      </c>
      <c r="B430" s="1" t="s">
        <v>9</v>
      </c>
      <c r="D430" s="1" t="s">
        <v>25</v>
      </c>
      <c r="E430" s="2">
        <v>10</v>
      </c>
      <c r="G430" s="19">
        <f t="shared" si="7"/>
        <v>10</v>
      </c>
    </row>
    <row r="431" spans="1:8" x14ac:dyDescent="0.25">
      <c r="D431" s="1" t="s">
        <v>50</v>
      </c>
      <c r="E431" s="2">
        <v>10</v>
      </c>
      <c r="G431" s="19">
        <f t="shared" si="7"/>
        <v>10</v>
      </c>
    </row>
    <row r="432" spans="1:8" x14ac:dyDescent="0.25">
      <c r="B432" s="1" t="s">
        <v>127</v>
      </c>
      <c r="D432" s="1" t="s">
        <v>130</v>
      </c>
      <c r="E432" s="2">
        <v>144</v>
      </c>
      <c r="G432" s="19">
        <f t="shared" si="7"/>
        <v>144</v>
      </c>
    </row>
    <row r="433" spans="2:9" x14ac:dyDescent="0.25">
      <c r="B433" s="1" t="s">
        <v>14</v>
      </c>
      <c r="D433" s="1" t="s">
        <v>436</v>
      </c>
      <c r="E433" s="2">
        <v>5</v>
      </c>
      <c r="G433" s="19">
        <f t="shared" si="7"/>
        <v>5</v>
      </c>
    </row>
    <row r="434" spans="2:9" x14ac:dyDescent="0.25">
      <c r="D434" s="1" t="s">
        <v>18</v>
      </c>
      <c r="E434" s="2">
        <v>8</v>
      </c>
      <c r="G434" s="19">
        <f t="shared" si="7"/>
        <v>8</v>
      </c>
    </row>
    <row r="435" spans="2:9" x14ac:dyDescent="0.25">
      <c r="D435" s="1" t="s">
        <v>205</v>
      </c>
      <c r="E435" s="2">
        <v>9</v>
      </c>
      <c r="G435" s="19">
        <f t="shared" si="7"/>
        <v>9</v>
      </c>
    </row>
    <row r="436" spans="2:9" x14ac:dyDescent="0.25">
      <c r="D436" s="1" t="s">
        <v>70</v>
      </c>
      <c r="E436" s="2">
        <v>10</v>
      </c>
      <c r="G436" s="19">
        <f t="shared" si="7"/>
        <v>10</v>
      </c>
    </row>
    <row r="437" spans="2:9" x14ac:dyDescent="0.25">
      <c r="D437" s="1" t="s">
        <v>437</v>
      </c>
      <c r="E437" s="2">
        <v>5</v>
      </c>
      <c r="G437" s="19">
        <f t="shared" si="7"/>
        <v>5</v>
      </c>
    </row>
    <row r="438" spans="2:9" x14ac:dyDescent="0.25">
      <c r="D438" s="1" t="s">
        <v>24</v>
      </c>
      <c r="E438" s="2">
        <v>5</v>
      </c>
      <c r="G438" s="19">
        <f t="shared" si="7"/>
        <v>5</v>
      </c>
    </row>
    <row r="439" spans="2:9" x14ac:dyDescent="0.25">
      <c r="D439" s="1" t="s">
        <v>289</v>
      </c>
      <c r="E439" s="2">
        <v>5</v>
      </c>
      <c r="G439" s="19">
        <f t="shared" si="7"/>
        <v>5</v>
      </c>
    </row>
    <row r="440" spans="2:9" x14ac:dyDescent="0.25">
      <c r="D440" s="1" t="s">
        <v>438</v>
      </c>
      <c r="E440" s="2">
        <v>20</v>
      </c>
      <c r="G440" s="19">
        <f t="shared" si="7"/>
        <v>20</v>
      </c>
    </row>
    <row r="441" spans="2:9" x14ac:dyDescent="0.25">
      <c r="D441" s="1" t="s">
        <v>19</v>
      </c>
      <c r="E441" s="2">
        <v>8</v>
      </c>
      <c r="G441" s="19">
        <f t="shared" si="7"/>
        <v>8</v>
      </c>
    </row>
    <row r="442" spans="2:9" x14ac:dyDescent="0.25">
      <c r="D442" s="1" t="s">
        <v>439</v>
      </c>
      <c r="E442" s="2">
        <v>5</v>
      </c>
      <c r="G442" s="19">
        <f t="shared" si="7"/>
        <v>5</v>
      </c>
    </row>
    <row r="443" spans="2:9" x14ac:dyDescent="0.25">
      <c r="D443" s="1" t="s">
        <v>440</v>
      </c>
      <c r="E443" s="2">
        <v>14</v>
      </c>
      <c r="G443" s="19">
        <f t="shared" si="7"/>
        <v>14</v>
      </c>
    </row>
    <row r="444" spans="2:9" x14ac:dyDescent="0.25">
      <c r="D444" s="1" t="s">
        <v>411</v>
      </c>
      <c r="E444" s="2">
        <v>25</v>
      </c>
      <c r="G444" s="19">
        <f t="shared" si="7"/>
        <v>25</v>
      </c>
    </row>
    <row r="446" spans="2:9" x14ac:dyDescent="0.25">
      <c r="D446" s="3" t="s">
        <v>680</v>
      </c>
      <c r="E446" s="35">
        <f>SUM(E350:E444,E3:E330)</f>
        <v>354240.89600000001</v>
      </c>
      <c r="F446" s="35">
        <f>SUM(F350:F444,F3:F330)</f>
        <v>250854.62999999995</v>
      </c>
      <c r="G446" s="35">
        <f>SUM(G350:G444,G3:G330)</f>
        <v>103386.266</v>
      </c>
      <c r="H446" s="46">
        <f>H31+H61+H90+H116+H149+H169+H196+H209+H233+H245+H262+H285+H308+H311+H328+H351+H395+H406+H425</f>
        <v>25525.01</v>
      </c>
      <c r="I446" s="1" t="s">
        <v>902</v>
      </c>
    </row>
  </sheetData>
  <conditionalFormatting sqref="G2:G74 G149:G444">
    <cfRule type="cellIs" dxfId="2" priority="3" operator="lessThan">
      <formula>0</formula>
    </cfRule>
  </conditionalFormatting>
  <conditionalFormatting sqref="G76:G148">
    <cfRule type="cellIs" dxfId="1" priority="2" operator="lessThan">
      <formula>0</formula>
    </cfRule>
  </conditionalFormatting>
  <conditionalFormatting sqref="G75">
    <cfRule type="cellIs" dxfId="0" priority="1" operator="lessThan">
      <formula>0</formula>
    </cfRule>
  </conditionalFormatting>
  <pageMargins left="0.7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7" sqref="C17"/>
    </sheetView>
  </sheetViews>
  <sheetFormatPr defaultRowHeight="16.5" customHeight="1" x14ac:dyDescent="0.25"/>
  <cols>
    <col min="1" max="1" width="31.85546875" customWidth="1"/>
    <col min="2" max="2" width="17" customWidth="1"/>
    <col min="3" max="3" width="16.5703125" customWidth="1"/>
    <col min="4" max="4" width="11.28515625" bestFit="1" customWidth="1"/>
    <col min="5" max="5" width="11.5703125" bestFit="1" customWidth="1"/>
  </cols>
  <sheetData>
    <row r="1" spans="1:5" ht="16.5" customHeight="1" x14ac:dyDescent="0.25">
      <c r="A1" s="17"/>
      <c r="B1" s="18" t="s">
        <v>540</v>
      </c>
      <c r="C1" s="18" t="s">
        <v>5</v>
      </c>
      <c r="D1" s="17"/>
    </row>
    <row r="2" spans="1:5" ht="16.5" customHeight="1" x14ac:dyDescent="0.25">
      <c r="A2" s="17" t="s">
        <v>523</v>
      </c>
      <c r="B2" s="16">
        <v>25000</v>
      </c>
      <c r="C2" s="16">
        <v>24000</v>
      </c>
      <c r="D2" s="17" t="s">
        <v>1057</v>
      </c>
    </row>
    <row r="3" spans="1:5" ht="16.5" customHeight="1" x14ac:dyDescent="0.25">
      <c r="A3" s="17" t="s">
        <v>524</v>
      </c>
      <c r="B3" s="16">
        <v>90000</v>
      </c>
      <c r="C3" s="16"/>
      <c r="D3" s="17"/>
    </row>
    <row r="4" spans="1:5" ht="16.5" customHeight="1" x14ac:dyDescent="0.25">
      <c r="A4" s="17" t="s">
        <v>525</v>
      </c>
      <c r="B4" s="16">
        <v>5300</v>
      </c>
      <c r="C4" s="16">
        <v>4000</v>
      </c>
      <c r="D4" s="17" t="s">
        <v>1057</v>
      </c>
    </row>
    <row r="5" spans="1:5" ht="16.5" customHeight="1" x14ac:dyDescent="0.25">
      <c r="A5" s="37" t="s">
        <v>526</v>
      </c>
      <c r="B5" s="38">
        <v>32400</v>
      </c>
      <c r="C5" s="38">
        <f>682+682+75+60+60+60+975+1300+60+60+60+60+85+60+60+800+60+60+60+325+85+60+210+60+60+85+70+1300+245+5330+60+60+60+120+60+60+60+60+1020+60+60+60+210+60+60+60+720+60+60+60+2885+60+60+60+60+60+975+60+1300+60+60+60+60+60+60+60+60+60+60+120+120+60+60+60+60+60+5850</f>
        <v>28689</v>
      </c>
      <c r="D5" s="17"/>
    </row>
    <row r="6" spans="1:5" ht="16.5" customHeight="1" x14ac:dyDescent="0.25">
      <c r="A6" s="17" t="s">
        <v>527</v>
      </c>
      <c r="B6" s="16">
        <v>3500</v>
      </c>
      <c r="C6" s="16"/>
      <c r="D6" s="17"/>
    </row>
    <row r="7" spans="1:5" ht="16.5" customHeight="1" x14ac:dyDescent="0.25">
      <c r="A7" s="17" t="s">
        <v>528</v>
      </c>
      <c r="B7" s="16">
        <v>0</v>
      </c>
      <c r="C7" s="16"/>
      <c r="D7" s="17"/>
    </row>
    <row r="8" spans="1:5" ht="16.5" customHeight="1" x14ac:dyDescent="0.25">
      <c r="A8" s="17" t="s">
        <v>529</v>
      </c>
      <c r="B8" s="16">
        <v>100000</v>
      </c>
      <c r="C8" s="16"/>
      <c r="D8" s="17"/>
    </row>
    <row r="9" spans="1:5" ht="16.5" customHeight="1" x14ac:dyDescent="0.25">
      <c r="A9" s="17" t="s">
        <v>530</v>
      </c>
      <c r="B9" s="16">
        <v>6487</v>
      </c>
      <c r="C9" s="16">
        <v>6486.96</v>
      </c>
      <c r="D9" s="17"/>
    </row>
    <row r="10" spans="1:5" ht="16.5" customHeight="1" x14ac:dyDescent="0.25">
      <c r="A10" s="17" t="s">
        <v>531</v>
      </c>
      <c r="B10" s="16">
        <v>1000</v>
      </c>
      <c r="C10" s="16">
        <v>761.2</v>
      </c>
      <c r="D10" s="17"/>
    </row>
    <row r="11" spans="1:5" ht="16.5" customHeight="1" x14ac:dyDescent="0.25">
      <c r="A11" s="17" t="s">
        <v>532</v>
      </c>
      <c r="B11" s="16">
        <v>11000</v>
      </c>
      <c r="C11" s="16"/>
      <c r="D11" s="17"/>
    </row>
    <row r="12" spans="1:5" ht="16.5" customHeight="1" x14ac:dyDescent="0.25">
      <c r="A12" s="17" t="s">
        <v>533</v>
      </c>
      <c r="B12" s="16">
        <v>3000</v>
      </c>
      <c r="C12" s="16"/>
      <c r="D12" s="17"/>
    </row>
    <row r="13" spans="1:5" ht="16.5" customHeight="1" x14ac:dyDescent="0.25">
      <c r="A13" s="17" t="s">
        <v>534</v>
      </c>
      <c r="B13" s="16">
        <v>31364</v>
      </c>
      <c r="C13" s="16">
        <f>9092+22272</f>
        <v>31364</v>
      </c>
      <c r="D13" s="30"/>
    </row>
    <row r="14" spans="1:5" ht="16.5" customHeight="1" x14ac:dyDescent="0.25">
      <c r="A14" s="17" t="s">
        <v>535</v>
      </c>
      <c r="B14" s="16">
        <v>45000</v>
      </c>
      <c r="C14" s="16">
        <f>5995+677+326+2695+2195+39.99+750+750+1800+100+100+100+100+300+100+2400+2895+500+750+25+50+100+100+800.53+687.75+500+750+5995+750+14.46+52.42+100+100+100+100+100+2195+2895+2195+2400+260+150+564.6+100+175+75</f>
        <v>43907.749999999993</v>
      </c>
      <c r="D14" s="17"/>
      <c r="E14" s="30"/>
    </row>
    <row r="15" spans="1:5" ht="16.5" customHeight="1" x14ac:dyDescent="0.25">
      <c r="A15" s="17" t="s">
        <v>536</v>
      </c>
      <c r="B15" s="16">
        <v>23000</v>
      </c>
      <c r="C15" s="16">
        <f>800+378.25+800+800+800+800+800+800+800+800+800+800+800+800+800+800+800+800+800+800+800+800</f>
        <v>17178.25</v>
      </c>
      <c r="D15" s="17"/>
    </row>
    <row r="16" spans="1:5" ht="16.5" customHeight="1" x14ac:dyDescent="0.25">
      <c r="A16" s="17" t="s">
        <v>537</v>
      </c>
      <c r="B16" s="16">
        <v>7000</v>
      </c>
      <c r="C16" s="16"/>
      <c r="D16" s="17"/>
    </row>
    <row r="17" spans="1:4" ht="16.5" customHeight="1" thickBot="1" x14ac:dyDescent="0.3">
      <c r="A17" s="39" t="s">
        <v>538</v>
      </c>
      <c r="B17" s="40">
        <v>9500</v>
      </c>
      <c r="C17" s="40"/>
      <c r="D17" s="17"/>
    </row>
    <row r="18" spans="1:4" ht="16.5" customHeight="1" x14ac:dyDescent="0.25">
      <c r="A18" s="17" t="s">
        <v>539</v>
      </c>
      <c r="B18" s="30">
        <f>SUM(B2:B17)</f>
        <v>393551</v>
      </c>
      <c r="C18" s="30">
        <f>SUM(C2:C17)</f>
        <v>156387.16</v>
      </c>
      <c r="D18" s="17"/>
    </row>
    <row r="19" spans="1:4" ht="16.5" customHeight="1" x14ac:dyDescent="0.25">
      <c r="A19" s="17"/>
      <c r="C19" s="17"/>
      <c r="D19" s="17"/>
    </row>
    <row r="20" spans="1:4" ht="16.5" customHeight="1" x14ac:dyDescent="0.25">
      <c r="A20" s="17"/>
      <c r="B20" s="17"/>
      <c r="C20" s="17"/>
      <c r="D20" s="17"/>
    </row>
    <row r="21" spans="1:4" ht="16.5" customHeight="1" x14ac:dyDescent="0.25">
      <c r="A21" s="17"/>
      <c r="B21" s="17"/>
      <c r="C21" s="17"/>
      <c r="D21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Special Apps</vt:lpstr>
      <vt:lpstr>Base Budgets</vt:lpstr>
      <vt:lpstr>SFB FM</vt:lpstr>
    </vt:vector>
  </TitlesOfParts>
  <Company>TCNJ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The College of New Jersey</cp:lastModifiedBy>
  <cp:lastPrinted>2016-04-12T16:36:55Z</cp:lastPrinted>
  <dcterms:created xsi:type="dcterms:W3CDTF">2015-05-11T16:30:30Z</dcterms:created>
  <dcterms:modified xsi:type="dcterms:W3CDTF">2017-04-10T20:50:05Z</dcterms:modified>
</cp:coreProperties>
</file>